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Tables/pivotTable1.xml" ContentType="application/vnd.openxmlformats-officedocument.spreadsheetml.pivotTable+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D:\Desgin\مقالات سایت\فایل های اکسل اموزشی\بارگزاری شده\"/>
    </mc:Choice>
  </mc:AlternateContent>
  <xr:revisionPtr revIDLastSave="0" documentId="13_ncr:1_{DFE3A346-A524-4CE7-BFD5-0D9C7657A8A0}" xr6:coauthVersionLast="47" xr6:coauthVersionMax="47" xr10:uidLastSave="{00000000-0000-0000-0000-000000000000}"/>
  <bookViews>
    <workbookView xWindow="-120" yWindow="-120" windowWidth="29040" windowHeight="15840" activeTab="4" xr2:uid="{00000000-000D-0000-FFFF-FFFF00000000}"/>
  </bookViews>
  <sheets>
    <sheet name="مفروضات" sheetId="5" r:id="rId1"/>
    <sheet name="Chart3" sheetId="7" r:id="rId2"/>
    <sheet name="Chart2" sheetId="4" r:id="rId3"/>
    <sheet name="Chart1" sheetId="6" r:id="rId4"/>
    <sheet name="report" sheetId="1" r:id="rId5"/>
    <sheet name="data" sheetId="2" r:id="rId6"/>
  </sheets>
  <definedNames>
    <definedName name="_xlchart.v1.0" hidden="1">report!$C$38:$N$38</definedName>
    <definedName name="_xlcn.LinkedTable_asamtion1" hidden="1">asamtion[]</definedName>
    <definedName name="_xlcn.LinkedTable_data1" hidden="1">data[]</definedName>
    <definedName name="_xlnm.Print_Area" localSheetId="4">report!$A$1:$Q$39</definedName>
    <definedName name="Slicer_ماه">#N/A</definedName>
    <definedName name="Slicer_نوع_عامل">#N/A</definedName>
  </definedNames>
  <calcPr calcId="191029"/>
  <extLst>
    <ext xmlns:x14="http://schemas.microsoft.com/office/spreadsheetml/2009/9/main" uri="{79F54976-1DA5-4618-B147-4CDE4B953A38}">
      <x14:workbookPr/>
    </ext>
    <ext xmlns:x15="http://schemas.microsoft.com/office/spreadsheetml/2010/11/main" uri="{841E416B-1EF1-43b6-AB56-02D37102CBD5}">
      <x15:pivotCaches>
        <pivotCache cacheId="0" r:id="rId7"/>
      </x15:pivotCaches>
    </ext>
    <ext xmlns:x15="http://schemas.microsoft.com/office/spreadsheetml/2010/11/main" uri="{983426D0-5260-488c-9760-48F4B6AC55F4}">
      <x15:pivotTableReferences>
        <x15:pivotTableReference r:id="rId8"/>
      </x15:pivotTableReferences>
    </ext>
    <ext xmlns:x15="http://schemas.microsoft.com/office/spreadsheetml/2010/11/main" uri="{46BE6895-7355-4a93-B00E-2C351335B9C9}">
      <x15:slicerCaches xmlns:x14="http://schemas.microsoft.com/office/spreadsheetml/2009/9/main">
        <x14:slicerCache r:id="rId9"/>
        <x14:slicerCache r:id="rId10"/>
      </x15:slicerCach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data" name="data" connection="LinkedTable_data"/>
          <x15:modelTable id="asamtion" name="asamtion" connection="LinkedTable_asamtion"/>
        </x15:modelTables>
        <x15:modelRelationships>
          <x15:modelRelationship fromTable="data" fromColumn="نوع عامل" toTable="asamtion" toColumn="عنوان"/>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D26" i="1"/>
  <c r="E26" i="1"/>
  <c r="F26" i="1"/>
  <c r="G26" i="1"/>
  <c r="H26" i="1"/>
  <c r="I26" i="1"/>
  <c r="J26" i="1"/>
  <c r="K26" i="1"/>
  <c r="L26" i="1"/>
  <c r="M26" i="1"/>
  <c r="N26" i="1"/>
  <c r="P26" i="1" l="1"/>
  <c r="G27" i="1" l="1"/>
  <c r="G25" i="1"/>
  <c r="G24" i="1"/>
  <c r="G23" i="1"/>
  <c r="G22" i="1"/>
  <c r="N35" i="1" l="1"/>
  <c r="M35" i="1"/>
  <c r="L35" i="1"/>
  <c r="K35" i="1"/>
  <c r="J35" i="1"/>
  <c r="I35" i="1"/>
  <c r="H35" i="1"/>
  <c r="G35" i="1"/>
  <c r="F35" i="1"/>
  <c r="E35" i="1"/>
  <c r="D35" i="1"/>
  <c r="C35" i="1"/>
  <c r="N34" i="1"/>
  <c r="M34" i="1"/>
  <c r="L34" i="1"/>
  <c r="K34" i="1"/>
  <c r="J34" i="1"/>
  <c r="I34" i="1"/>
  <c r="H34" i="1"/>
  <c r="G34" i="1"/>
  <c r="F34" i="1"/>
  <c r="E34" i="1"/>
  <c r="D34" i="1"/>
  <c r="C34" i="1"/>
  <c r="N33" i="1"/>
  <c r="M33" i="1"/>
  <c r="L33" i="1"/>
  <c r="K33" i="1"/>
  <c r="J33" i="1"/>
  <c r="I33" i="1"/>
  <c r="H33" i="1"/>
  <c r="G33" i="1"/>
  <c r="F33" i="1"/>
  <c r="E33" i="1"/>
  <c r="D33" i="1"/>
  <c r="C33" i="1"/>
  <c r="N32" i="1"/>
  <c r="N36" i="1" s="1"/>
  <c r="M32" i="1"/>
  <c r="L32" i="1"/>
  <c r="K32" i="1"/>
  <c r="J32" i="1"/>
  <c r="J36" i="1" s="1"/>
  <c r="I32" i="1"/>
  <c r="I36" i="1" s="1"/>
  <c r="H32" i="1"/>
  <c r="G32" i="1"/>
  <c r="F32" i="1"/>
  <c r="F36" i="1" s="1"/>
  <c r="E32" i="1"/>
  <c r="E36" i="1" s="1"/>
  <c r="D32" i="1"/>
  <c r="D36" i="1" s="1"/>
  <c r="C32" i="1"/>
  <c r="N27" i="1"/>
  <c r="M27" i="1"/>
  <c r="L27" i="1"/>
  <c r="K27" i="1"/>
  <c r="J27" i="1"/>
  <c r="I27" i="1"/>
  <c r="H27" i="1"/>
  <c r="F27" i="1"/>
  <c r="E27" i="1"/>
  <c r="D27" i="1"/>
  <c r="C27" i="1"/>
  <c r="N25" i="1"/>
  <c r="M25" i="1"/>
  <c r="L25" i="1"/>
  <c r="K25" i="1"/>
  <c r="J25" i="1"/>
  <c r="I25" i="1"/>
  <c r="H25" i="1"/>
  <c r="F25" i="1"/>
  <c r="E25" i="1"/>
  <c r="D25" i="1"/>
  <c r="C25" i="1"/>
  <c r="N24" i="1"/>
  <c r="M24" i="1"/>
  <c r="L24" i="1"/>
  <c r="K24" i="1"/>
  <c r="J24" i="1"/>
  <c r="I24" i="1"/>
  <c r="H24" i="1"/>
  <c r="F24" i="1"/>
  <c r="E24" i="1"/>
  <c r="D24" i="1"/>
  <c r="C24" i="1"/>
  <c r="N23" i="1"/>
  <c r="M23" i="1"/>
  <c r="L23" i="1"/>
  <c r="K23" i="1"/>
  <c r="J23" i="1"/>
  <c r="I23" i="1"/>
  <c r="H23" i="1"/>
  <c r="F23" i="1"/>
  <c r="E23" i="1"/>
  <c r="D23" i="1"/>
  <c r="C23" i="1"/>
  <c r="N22" i="1"/>
  <c r="M22" i="1"/>
  <c r="L22" i="1"/>
  <c r="K22" i="1"/>
  <c r="J22" i="1"/>
  <c r="I22" i="1"/>
  <c r="H22" i="1"/>
  <c r="F22" i="1"/>
  <c r="E22" i="1"/>
  <c r="D22" i="1"/>
  <c r="C22" i="1"/>
  <c r="N21" i="1"/>
  <c r="M21" i="1"/>
  <c r="L21" i="1"/>
  <c r="K21" i="1"/>
  <c r="J21" i="1"/>
  <c r="I21" i="1"/>
  <c r="H21" i="1"/>
  <c r="G21" i="1"/>
  <c r="F21" i="1"/>
  <c r="E21" i="1"/>
  <c r="D21" i="1"/>
  <c r="C21" i="1"/>
  <c r="N20" i="1"/>
  <c r="M20" i="1"/>
  <c r="L20" i="1"/>
  <c r="K20" i="1"/>
  <c r="J20" i="1"/>
  <c r="I20" i="1"/>
  <c r="H20" i="1"/>
  <c r="G20" i="1"/>
  <c r="F20" i="1"/>
  <c r="E20" i="1"/>
  <c r="D20" i="1"/>
  <c r="C20" i="1"/>
  <c r="N19" i="1"/>
  <c r="M19" i="1"/>
  <c r="L19" i="1"/>
  <c r="K19" i="1"/>
  <c r="J19" i="1"/>
  <c r="I19" i="1"/>
  <c r="H19" i="1"/>
  <c r="G19" i="1"/>
  <c r="F19" i="1"/>
  <c r="E19" i="1"/>
  <c r="D19" i="1"/>
  <c r="C19" i="1"/>
  <c r="N18" i="1"/>
  <c r="M18" i="1"/>
  <c r="L18" i="1"/>
  <c r="K18" i="1"/>
  <c r="J18" i="1"/>
  <c r="I18" i="1"/>
  <c r="H18" i="1"/>
  <c r="G18" i="1"/>
  <c r="F18" i="1"/>
  <c r="E18" i="1"/>
  <c r="D18" i="1"/>
  <c r="C18" i="1"/>
  <c r="N17" i="1"/>
  <c r="M17" i="1"/>
  <c r="L17" i="1"/>
  <c r="K17" i="1"/>
  <c r="J17" i="1"/>
  <c r="I17" i="1"/>
  <c r="H17" i="1"/>
  <c r="G17" i="1"/>
  <c r="F17" i="1"/>
  <c r="E17" i="1"/>
  <c r="D17" i="1"/>
  <c r="C17" i="1"/>
  <c r="N11" i="1"/>
  <c r="M11" i="1"/>
  <c r="L11" i="1"/>
  <c r="K11" i="1"/>
  <c r="J11" i="1"/>
  <c r="I11" i="1"/>
  <c r="H11" i="1"/>
  <c r="G11" i="1"/>
  <c r="F11" i="1"/>
  <c r="E11" i="1"/>
  <c r="D11" i="1"/>
  <c r="C11" i="1"/>
  <c r="N10" i="1"/>
  <c r="M10" i="1"/>
  <c r="L10" i="1"/>
  <c r="K10" i="1"/>
  <c r="J10" i="1"/>
  <c r="I10" i="1"/>
  <c r="H10" i="1"/>
  <c r="G10" i="1"/>
  <c r="F10" i="1"/>
  <c r="E10" i="1"/>
  <c r="D10" i="1"/>
  <c r="C10" i="1"/>
  <c r="N9" i="1"/>
  <c r="M9" i="1"/>
  <c r="L9" i="1"/>
  <c r="K9" i="1"/>
  <c r="J9" i="1"/>
  <c r="I9" i="1"/>
  <c r="H9" i="1"/>
  <c r="G9" i="1"/>
  <c r="F9" i="1"/>
  <c r="E9" i="1"/>
  <c r="D9" i="1"/>
  <c r="C9" i="1"/>
  <c r="N8" i="1"/>
  <c r="M8" i="1"/>
  <c r="L8" i="1"/>
  <c r="K8" i="1"/>
  <c r="J8" i="1"/>
  <c r="I8" i="1"/>
  <c r="H8" i="1"/>
  <c r="G8" i="1"/>
  <c r="F8" i="1"/>
  <c r="E8" i="1"/>
  <c r="D8" i="1"/>
  <c r="C8" i="1"/>
  <c r="N7" i="1"/>
  <c r="M7" i="1"/>
  <c r="L7" i="1"/>
  <c r="K7" i="1"/>
  <c r="J7" i="1"/>
  <c r="I7" i="1"/>
  <c r="H7" i="1"/>
  <c r="G7" i="1"/>
  <c r="F7" i="1"/>
  <c r="E7" i="1"/>
  <c r="D7" i="1"/>
  <c r="C7" i="1"/>
  <c r="N6" i="1"/>
  <c r="M6" i="1"/>
  <c r="L6" i="1"/>
  <c r="K6" i="1"/>
  <c r="J6" i="1"/>
  <c r="I6" i="1"/>
  <c r="H6" i="1"/>
  <c r="H12" i="1" s="1"/>
  <c r="G6" i="1"/>
  <c r="F6" i="1"/>
  <c r="E6" i="1"/>
  <c r="D6" i="1"/>
  <c r="C6" i="1"/>
  <c r="M36" i="1" l="1"/>
  <c r="M12" i="1"/>
  <c r="E12" i="1"/>
  <c r="C36" i="1"/>
  <c r="I12" i="1"/>
  <c r="G36" i="1"/>
  <c r="H36" i="1"/>
  <c r="K36" i="1"/>
  <c r="N28" i="1"/>
  <c r="N37" i="1" s="1"/>
  <c r="F28" i="1"/>
  <c r="F37" i="1" s="1"/>
  <c r="N12" i="1"/>
  <c r="F12" i="1"/>
  <c r="J28" i="1"/>
  <c r="J37" i="1" s="1"/>
  <c r="D28" i="1"/>
  <c r="D37" i="1" s="1"/>
  <c r="H28" i="1"/>
  <c r="I28" i="1"/>
  <c r="I37" i="1" s="1"/>
  <c r="G12" i="1"/>
  <c r="M28" i="1"/>
  <c r="J12" i="1"/>
  <c r="E28" i="1"/>
  <c r="E37" i="1" s="1"/>
  <c r="K28" i="1"/>
  <c r="D12" i="1"/>
  <c r="K12" i="1"/>
  <c r="L12" i="1"/>
  <c r="P6" i="1"/>
  <c r="P11" i="1"/>
  <c r="P17" i="1"/>
  <c r="P22" i="1"/>
  <c r="P34" i="1"/>
  <c r="G28" i="1"/>
  <c r="P10" i="1"/>
  <c r="P24" i="1"/>
  <c r="P25" i="1"/>
  <c r="P35" i="1"/>
  <c r="P18" i="1"/>
  <c r="P20" i="1"/>
  <c r="P21" i="1"/>
  <c r="P33" i="1"/>
  <c r="P9" i="1"/>
  <c r="P19" i="1"/>
  <c r="P27" i="1"/>
  <c r="L28" i="1"/>
  <c r="L36" i="1"/>
  <c r="P23" i="1"/>
  <c r="P8" i="1"/>
  <c r="P7" i="1"/>
  <c r="C12" i="1"/>
  <c r="C13" i="1" s="1"/>
  <c r="C28" i="1"/>
  <c r="C37" i="1" s="1"/>
  <c r="P32" i="1"/>
  <c r="M37" i="1" l="1"/>
  <c r="G37" i="1"/>
  <c r="H37" i="1"/>
  <c r="K37" i="1"/>
  <c r="P12" i="1"/>
  <c r="P28" i="1"/>
  <c r="P36" i="1"/>
  <c r="L37" i="1"/>
  <c r="C38" i="1"/>
  <c r="D3" i="1" s="1"/>
  <c r="D13" i="1" s="1"/>
  <c r="D38" i="1" s="1"/>
  <c r="E3" i="1" s="1"/>
  <c r="E13" i="1" s="1"/>
  <c r="E38" i="1" s="1"/>
  <c r="F3" i="1" s="1"/>
  <c r="F13" i="1" s="1"/>
  <c r="F38" i="1" s="1"/>
  <c r="G3" i="1" s="1"/>
  <c r="G13" i="1" s="1"/>
  <c r="G38" i="1" l="1"/>
  <c r="H3" i="1" s="1"/>
  <c r="H13" i="1" s="1"/>
  <c r="H38" i="1" s="1"/>
  <c r="I3" i="1" s="1"/>
  <c r="I13" i="1" s="1"/>
  <c r="I38" i="1" s="1"/>
  <c r="J3" i="1" s="1"/>
  <c r="J13" i="1" s="1"/>
  <c r="J38" i="1" s="1"/>
  <c r="K3" i="1" s="1"/>
  <c r="K13" i="1" s="1"/>
  <c r="K38" i="1" s="1"/>
  <c r="L3" i="1" s="1"/>
  <c r="L13" i="1" s="1"/>
  <c r="L38" i="1" s="1"/>
  <c r="M3" i="1" s="1"/>
  <c r="M13" i="1" s="1"/>
  <c r="M38" i="1" s="1"/>
  <c r="N3" i="1" s="1"/>
  <c r="P3" i="1" s="1"/>
  <c r="P13" i="1" s="1"/>
  <c r="P37" i="1"/>
  <c r="N13" i="1" l="1"/>
  <c r="N38" i="1" s="1"/>
  <c r="P3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LinkedTable_asamtion" type="102" refreshedVersion="6" minRefreshableVersion="5">
    <extLst>
      <ext xmlns:x15="http://schemas.microsoft.com/office/spreadsheetml/2010/11/main" uri="{DE250136-89BD-433C-8126-D09CA5730AF9}">
        <x15:connection id="asamtion">
          <x15:rangePr sourceName="_xlcn.LinkedTable_asamtion1"/>
        </x15:connection>
      </ext>
    </extLst>
  </connection>
  <connection id="2" xr16:uid="{00000000-0015-0000-FFFF-FFFF01000000}" name="LinkedTable_data" type="102" refreshedVersion="6" minRefreshableVersion="5">
    <extLst>
      <ext xmlns:x15="http://schemas.microsoft.com/office/spreadsheetml/2010/11/main" uri="{DE250136-89BD-433C-8126-D09CA5730AF9}">
        <x15:connection id="data">
          <x15:rangePr sourceName="_xlcn.LinkedTable_data1"/>
        </x15:connection>
      </ext>
    </extLst>
  </connection>
  <connection id="3" xr16:uid="{00000000-0015-0000-FFFF-FFFF02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<sst xmlns="http://schemas.openxmlformats.org/spreadsheetml/2006/main" count="186" uniqueCount="58">
  <si>
    <t>بودجه نقدی</t>
  </si>
  <si>
    <t>فروردین</t>
  </si>
  <si>
    <t>اردیبهشت</t>
  </si>
  <si>
    <t>خرداد</t>
  </si>
  <si>
    <t>تیر</t>
  </si>
  <si>
    <t>مرداد</t>
  </si>
  <si>
    <t>شهریور</t>
  </si>
  <si>
    <t>مهر</t>
  </si>
  <si>
    <t>آبان</t>
  </si>
  <si>
    <t>آذر</t>
  </si>
  <si>
    <t>دی</t>
  </si>
  <si>
    <t>بهمن</t>
  </si>
  <si>
    <t>اسفند</t>
  </si>
  <si>
    <t>مانده ابتدا</t>
  </si>
  <si>
    <t>اسناد دریافتنی وصول شده</t>
  </si>
  <si>
    <t>وام</t>
  </si>
  <si>
    <t>وجه نقد قابل دسترس</t>
  </si>
  <si>
    <t>وجه نقد ورودی:</t>
  </si>
  <si>
    <t>جمع ورودی</t>
  </si>
  <si>
    <t>اسناد پرداختنی</t>
  </si>
  <si>
    <t>حسابهای پرداختنی</t>
  </si>
  <si>
    <t>سایر خرید ها</t>
  </si>
  <si>
    <t>حقوق و دستمزد</t>
  </si>
  <si>
    <t>بیمه و مالیات</t>
  </si>
  <si>
    <t>هزینه تعمیر و نگهداری</t>
  </si>
  <si>
    <t>اجاره</t>
  </si>
  <si>
    <t>سایر</t>
  </si>
  <si>
    <t>جمع</t>
  </si>
  <si>
    <t>وجه نقد خروجی سرمایه ای:</t>
  </si>
  <si>
    <t>اقساط وام</t>
  </si>
  <si>
    <t>خرید های سرمایه ای</t>
  </si>
  <si>
    <t>برداشت جاری شرکاء</t>
  </si>
  <si>
    <t>وجه نقد خروجی عملیاتی:</t>
  </si>
  <si>
    <t>آورده جاری شرکاء</t>
  </si>
  <si>
    <t>سایر هزینه های راه اندازی</t>
  </si>
  <si>
    <t>جمع کل خروجی</t>
  </si>
  <si>
    <t>جمع کل</t>
  </si>
  <si>
    <t>.2</t>
  </si>
  <si>
    <t>.3</t>
  </si>
  <si>
    <t>عنوان</t>
  </si>
  <si>
    <t>وضعیت وجه در پایان هر ماه</t>
  </si>
  <si>
    <t>ماه</t>
  </si>
  <si>
    <t>مبلغ</t>
  </si>
  <si>
    <t>نوع عامل</t>
  </si>
  <si>
    <t>توضیحات</t>
  </si>
  <si>
    <t>حقوق و دستمزد مدیران</t>
  </si>
  <si>
    <t>پشتیبانی</t>
  </si>
  <si>
    <t xml:space="preserve">مطالبات </t>
  </si>
  <si>
    <t>وضعیت</t>
  </si>
  <si>
    <t>فروش و توسعه بازار</t>
  </si>
  <si>
    <t>محقق شده</t>
  </si>
  <si>
    <t>ماهیت</t>
  </si>
  <si>
    <t>منابع</t>
  </si>
  <si>
    <t>مصارف</t>
  </si>
  <si>
    <t>فروش نرم افزار</t>
  </si>
  <si>
    <t>حقوق معوقه</t>
  </si>
  <si>
    <t>همکاری فروش</t>
  </si>
  <si>
    <t>1403/10/11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</si>
</sst>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78"/>
      <scheme val="minor"/>
    </font>
    <font>
      <b/>
      <sz val="14"/>
      <color theme="1"/>
      <name val="B Nazanin"/>
      <charset val="178"/>
    </font>
    <font>
      <sz val="14"/>
      <color theme="1"/>
      <name val="B Nazanin"/>
      <charset val="178"/>
    </font>
    <font>
      <sz val="14"/>
      <color theme="1"/>
      <name val="B Nazanin"/>
      <charset val="178"/>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dashed">
        <color auto="1"/>
      </top>
      <bottom style="dashed">
        <color auto="1"/>
      </bottom>
      <diagonal/>
    </border>
  </borders>
  <cellStyleXfs count="1">
    <xf numFmtId="0" fontId="0" fillId="0" borderId="0"/>
  </cellStyleXfs>
  <cellXfs count="26">
    <xf numFmtId="0" fontId="0" fillId="0" borderId="0" xfId="0"/>
    <xf numFmtId="0" fontId="1" fillId="0" borderId="0" xfId="0" applyFont="1" applyFill="1" applyBorder="1"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xf>
    <xf numFmtId="0" fontId="1" fillId="0" borderId="0" xfId="0" applyFont="1" applyFill="1" applyBorder="1"/>
    <xf numFmtId="0" fontId="2" fillId="0" borderId="0" xfId="0" applyFont="1" applyFill="1" applyBorder="1"/>
    <xf numFmtId="0" fontId="2" fillId="0" borderId="0" xfId="0" applyFont="1" applyFill="1" applyBorder="1" applyAlignment="1">
      <alignment horizontal="center" vertical="center"/>
    </xf>
    <xf numFmtId="0" fontId="2" fillId="0" borderId="1" xfId="0" applyFont="1" applyFill="1" applyBorder="1"/>
    <xf numFmtId="0" fontId="2" fillId="0" borderId="0" xfId="0" applyFont="1" applyFill="1" applyBorder="1" applyAlignment="1">
      <alignment horizontal="right" vertical="center"/>
    </xf>
    <xf numFmtId="0" fontId="1" fillId="0" borderId="0" xfId="0" applyFont="1" applyFill="1" applyBorder="1" applyAlignment="1">
      <alignment horizontal="right" vertical="center"/>
    </xf>
    <xf numFmtId="0" fontId="1" fillId="0" borderId="1" xfId="0" applyFont="1" applyFill="1" applyBorder="1" applyAlignment="1">
      <alignment horizontal="right" vertical="center"/>
    </xf>
    <xf numFmtId="3" fontId="2" fillId="0" borderId="0" xfId="0" applyNumberFormat="1" applyFont="1" applyFill="1" applyBorder="1"/>
    <xf numFmtId="3" fontId="1"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xf>
    <xf numFmtId="3" fontId="2" fillId="0" borderId="0"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0" xfId="0" applyFont="1" applyFill="1" applyBorder="1" applyAlignment="1">
      <alignment horizontal="center" vertical="center"/>
    </xf>
    <xf numFmtId="3" fontId="3" fillId="0" borderId="0" xfId="0" applyNumberFormat="1" applyFont="1" applyFill="1" applyBorder="1" applyAlignment="1">
      <alignment horizontal="center" vertical="center"/>
    </xf>
    <xf numFmtId="3" fontId="2" fillId="2" borderId="0" xfId="0" applyNumberFormat="1" applyFont="1" applyFill="1" applyBorder="1"/>
    <xf numFmtId="0" fontId="0" fillId="0" borderId="0" xfId="0" applyFill="1"/>
    <xf numFmtId="3" fontId="0" fillId="0" borderId="0" xfId="0" applyNumberFormat="1" applyFill="1" applyAlignment="1">
      <alignment horizontal="center" vertical="center"/>
    </xf>
    <xf numFmtId="0" fontId="0" fillId="0" borderId="0" xfId="0" applyFill="1" applyAlignment="1">
      <alignment horizontal="center" vertical="center"/>
    </xf>
  </cellXfs>
  <cellStyles count="1">
    <cellStyle name="Normal" xfId="0" builtinId="0"/>
  </cellStyles>
  <dxfs count="111">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style="dashed">
          <color auto="1"/>
        </top>
        <bottom style="dashed">
          <color auto="1"/>
        </bottom>
      </border>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right" vertical="center" textRotation="0" wrapText="0" indent="0" justifyLastLine="0" shrinkToFit="0" readingOrder="0"/>
    </dxf>
    <dxf>
      <border>
        <top style="dashed">
          <color auto="1"/>
        </top>
      </border>
    </dxf>
    <dxf>
      <font>
        <strike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4"/>
        <color theme="1"/>
        <name val="B Nazanin"/>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numFmt numFmtId="3"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4"/>
        <color theme="1"/>
        <name val="B Nazanin"/>
        <scheme val="none"/>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4"/>
        <color theme="1"/>
        <name val="B Nazanin"/>
        <scheme val="none"/>
      </font>
      <fill>
        <patternFill patternType="none">
          <fgColor indexed="64"/>
          <bgColor auto="1"/>
        </patternFill>
      </fill>
    </dxf>
    <dxf>
      <font>
        <b/>
        <i val="0"/>
        <strike val="0"/>
        <condense val="0"/>
        <extend val="0"/>
        <outline val="0"/>
        <shadow val="0"/>
        <u val="none"/>
        <vertAlign val="baseline"/>
        <sz val="14"/>
        <color theme="1"/>
        <name val="B Nazanin"/>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4"/>
        <color theme="1"/>
        <name val="B Nazanin"/>
        <scheme val="none"/>
      </font>
      <fill>
        <patternFill patternType="none">
          <fgColor indexed="64"/>
          <bgColor auto="1"/>
        </patternFill>
      </fill>
    </dxf>
    <dxf>
      <font>
        <b val="0"/>
        <i val="0"/>
        <strike val="0"/>
        <condense val="0"/>
        <extend val="0"/>
        <outline val="0"/>
        <shadow val="0"/>
        <u val="none"/>
        <vertAlign val="baseline"/>
        <sz val="14"/>
        <color theme="1"/>
        <name val="B Nazanin"/>
        <scheme val="none"/>
      </font>
      <fill>
        <patternFill patternType="none">
          <fgColor indexed="64"/>
          <bgColor auto="1"/>
        </patternFill>
      </fill>
    </dxf>
    <dxf>
      <font>
        <b val="0"/>
        <i val="0"/>
        <strike val="0"/>
        <condense val="0"/>
        <extend val="0"/>
        <outline val="0"/>
        <shadow val="0"/>
        <u val="none"/>
        <vertAlign val="baseline"/>
        <sz val="14"/>
        <color theme="1"/>
        <name val="B Nazanin"/>
        <scheme val="none"/>
      </font>
      <fill>
        <patternFill patternType="none">
          <fgColor indexed="64"/>
          <bgColor auto="1"/>
        </patternFill>
      </fill>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chartsheet" Target="chartsheets/sheet2.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pivotCacheDefinition" Target="pivotCache/pivotCacheDefinition1.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chartsheet" Target="chartsheets/sheet1.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3.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2.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microsoft.com/office/2007/relationships/slicerCache" Target="slicerCaches/slicerCache2.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chartsheet" Target="chartsheets/sheet3.xml"/><Relationship Id="rId9" Type="http://schemas.microsoft.com/office/2007/relationships/slicerCache" Target="slicerCaches/slicerCache1.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pivotTable" Target="pivotTables/pivotTabl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autoTitleDeleted val="0"/>
    <c:plotArea>
      <c:layout/>
      <c:barChart>
        <c:barDir val="col"/>
        <c:grouping val="clustered"/>
        <c:varyColors val="0"/>
        <c:dLbls>
          <c:showLegendKey val="0"/>
          <c:showVal val="0"/>
          <c:showCatName val="0"/>
          <c:showSerName val="0"/>
          <c:showPercent val="0"/>
          <c:showBubbleSize val="0"/>
        </c:dLbls>
        <c:gapWidth val="150"/>
        <c:axId val="1"/>
        <c:axId val="2"/>
      </c:barChart>
      <c:catAx>
        <c:axId val="1"/>
        <c:scaling>
          <c:orientation val="minMax"/>
        </c:scaling>
        <c:delete val="0"/>
        <c:axPos val="b"/>
        <c:majorTickMark val="out"/>
        <c:minorTickMark val="none"/>
        <c:tickLblPos val="nextTo"/>
        <c:crossAx val="2"/>
        <c:crosses val="autoZero"/>
        <c:auto val="1"/>
        <c:lblAlgn val="ctr"/>
        <c:lblOffset val="100"/>
        <c:noMultiLvlLbl val="0"/>
      </c:catAx>
      <c:valAx>
        <c:axId val="2"/>
        <c:scaling>
          <c:orientation val="minMax"/>
        </c:scaling>
        <c:delete val="0"/>
        <c:axPos val="l"/>
        <c:majorGridlines/>
        <c:majorTickMark val="out"/>
        <c:minorTickMark val="none"/>
        <c:tickLblPos val="nextTo"/>
        <c:crossAx val="1"/>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2225" cap="rnd">
              <a:solidFill>
                <a:schemeClr val="accent1"/>
              </a:solidFill>
              <a:round/>
            </a:ln>
            <a:effectLst/>
          </c:spPr>
          <c:marker>
            <c:symbol val="diamond"/>
            <c:size val="6"/>
            <c:spPr>
              <a:solidFill>
                <a:schemeClr val="accent1"/>
              </a:solidFill>
              <a:ln w="9525">
                <a:solidFill>
                  <a:schemeClr val="accent1"/>
                </a:solidFill>
                <a:round/>
              </a:ln>
              <a:effectLst/>
            </c:spPr>
          </c:marker>
          <c:val>
            <c:numRef>
              <c:f>report!$C$13:$N$13</c:f>
              <c:numCache>
                <c:formatCode>#,##0</c:formatCode>
                <c:ptCount val="12"/>
                <c:pt idx="0">
                  <c:v>179000</c:v>
                </c:pt>
                <c:pt idx="1">
                  <c:v>179000</c:v>
                </c:pt>
                <c:pt idx="2">
                  <c:v>179000</c:v>
                </c:pt>
                <c:pt idx="3">
                  <c:v>179000</c:v>
                </c:pt>
                <c:pt idx="4">
                  <c:v>179000</c:v>
                </c:pt>
                <c:pt idx="5">
                  <c:v>179000</c:v>
                </c:pt>
                <c:pt idx="6">
                  <c:v>179000</c:v>
                </c:pt>
                <c:pt idx="7">
                  <c:v>179000</c:v>
                </c:pt>
                <c:pt idx="8">
                  <c:v>179000</c:v>
                </c:pt>
                <c:pt idx="9">
                  <c:v>180489</c:v>
                </c:pt>
                <c:pt idx="10">
                  <c:v>180695</c:v>
                </c:pt>
                <c:pt idx="11">
                  <c:v>178205</c:v>
                </c:pt>
              </c:numCache>
            </c:numRef>
          </c:val>
          <c:smooth val="0"/>
          <c:extLst>
            <c:ext xmlns:c16="http://schemas.microsoft.com/office/drawing/2014/chart" uri="{C3380CC4-5D6E-409C-BE32-E72D297353CC}">
              <c16:uniqueId val="{00000000-8A8C-490D-9BFA-03C8CB427608}"/>
            </c:ext>
          </c:extLst>
        </c:ser>
        <c:ser>
          <c:idx val="1"/>
          <c:order val="1"/>
          <c:spPr>
            <a:ln w="22225" cap="rnd">
              <a:solidFill>
                <a:schemeClr val="accent2"/>
              </a:solidFill>
              <a:round/>
            </a:ln>
            <a:effectLst/>
          </c:spPr>
          <c:marker>
            <c:symbol val="square"/>
            <c:size val="6"/>
            <c:spPr>
              <a:solidFill>
                <a:schemeClr val="accent2"/>
              </a:solidFill>
              <a:ln w="9525">
                <a:solidFill>
                  <a:schemeClr val="accent2"/>
                </a:solidFill>
                <a:round/>
              </a:ln>
              <a:effectLst/>
            </c:spPr>
          </c:marker>
          <c:val>
            <c:numRef>
              <c:f>report!$C$37:$N$37</c:f>
              <c:numCache>
                <c:formatCode>#,##0</c:formatCode>
                <c:ptCount val="12"/>
                <c:pt idx="0">
                  <c:v>0</c:v>
                </c:pt>
                <c:pt idx="1">
                  <c:v>0</c:v>
                </c:pt>
                <c:pt idx="2">
                  <c:v>0</c:v>
                </c:pt>
                <c:pt idx="3">
                  <c:v>0</c:v>
                </c:pt>
                <c:pt idx="4">
                  <c:v>0</c:v>
                </c:pt>
                <c:pt idx="5">
                  <c:v>0</c:v>
                </c:pt>
                <c:pt idx="6">
                  <c:v>0</c:v>
                </c:pt>
                <c:pt idx="7">
                  <c:v>0</c:v>
                </c:pt>
                <c:pt idx="8">
                  <c:v>0</c:v>
                </c:pt>
                <c:pt idx="9">
                  <c:v>594</c:v>
                </c:pt>
                <c:pt idx="10">
                  <c:v>4480</c:v>
                </c:pt>
                <c:pt idx="11">
                  <c:v>17430</c:v>
                </c:pt>
              </c:numCache>
            </c:numRef>
          </c:val>
          <c:smooth val="0"/>
          <c:extLst>
            <c:ext xmlns:c16="http://schemas.microsoft.com/office/drawing/2014/chart" uri="{C3380CC4-5D6E-409C-BE32-E72D297353CC}">
              <c16:uniqueId val="{00000001-8A8C-490D-9BFA-03C8CB427608}"/>
            </c:ext>
          </c:extLst>
        </c:ser>
        <c:dLbls>
          <c:showLegendKey val="0"/>
          <c:showVal val="0"/>
          <c:showCatName val="0"/>
          <c:showSerName val="0"/>
          <c:showPercent val="0"/>
          <c:showBubbleSize val="0"/>
        </c:dLbls>
        <c:marker val="1"/>
        <c:smooth val="0"/>
        <c:axId val="1895131984"/>
        <c:axId val="1895137808"/>
      </c:lineChart>
      <c:catAx>
        <c:axId val="1895131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895137808"/>
        <c:crosses val="autoZero"/>
        <c:auto val="1"/>
        <c:lblAlgn val="ctr"/>
        <c:lblOffset val="100"/>
        <c:noMultiLvlLbl val="0"/>
      </c:catAx>
      <c:valAx>
        <c:axId val="1895137808"/>
        <c:scaling>
          <c:orientation val="minMax"/>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1319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ivotFmts>
      <c:pivotFmt>
        <c:idx val="0"/>
      </c:pivotFmt>
      <c:pivotFmt>
        <c:idx val="1"/>
        <c:spPr>
          <a:pattFill prst="narHorz">
            <a:fgClr>
              <a:schemeClr val="accent1"/>
            </a:fgClr>
            <a:bgClr>
              <a:schemeClr val="accent1">
                <a:lumMod val="20000"/>
                <a:lumOff val="80000"/>
              </a:schemeClr>
            </a:bgClr>
          </a:pattFill>
          <a:ln>
            <a:noFill/>
          </a:ln>
          <a:effectLst>
            <a:innerShdw blurRad="114300">
              <a:schemeClr val="accent1"/>
            </a:innerShdw>
          </a:effectLst>
        </c:spPr>
        <c:marker>
          <c:symbol val="circle"/>
          <c:size val="6"/>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pattFill prst="narHorz">
            <a:fgClr>
              <a:schemeClr val="accent1"/>
            </a:fgClr>
            <a:bgClr>
              <a:schemeClr val="accent1">
                <a:lumMod val="20000"/>
                <a:lumOff val="80000"/>
              </a:schemeClr>
            </a:bgClr>
          </a:pattFill>
          <a:ln>
            <a:noFill/>
          </a:ln>
          <a:effectLst>
            <a:innerShdw blurRad="114300">
              <a:schemeClr val="accent1"/>
            </a:innerShdw>
          </a:effectLst>
        </c:spPr>
        <c:marker>
          <c:symbol val="circle"/>
          <c:size val="6"/>
          <c:spPr>
            <a:solidFill>
              <a:schemeClr val="accent2"/>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pivotFmt>
      <c:pivotFmt>
        <c:idx val="8"/>
        <c:spPr>
          <a:pattFill prst="narHorz">
            <a:fgClr>
              <a:schemeClr val="accent1"/>
            </a:fgClr>
            <a:bgClr>
              <a:schemeClr val="accent1">
                <a:lumMod val="20000"/>
                <a:lumOff val="80000"/>
              </a:schemeClr>
            </a:bgClr>
          </a:pattFill>
          <a:ln>
            <a:noFill/>
          </a:ln>
          <a:effectLst>
            <a:innerShdw blurRad="114300">
              <a:schemeClr val="accent1"/>
            </a:inn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6"/>
              <c:pt idx="0">
                <c:v>بیمه و مالیات
مصارف</c:v>
              </c:pt>
              <c:pt idx="1">
                <c:v>حقوق و دستمزد
مصارف</c:v>
              </c:pt>
              <c:pt idx="2">
                <c:v>حقوق و دستمزد مدیران
مصارف</c:v>
              </c:pt>
              <c:pt idx="3">
                <c:v>اسناد دریافتنی وصول شده
منابع</c:v>
              </c:pt>
              <c:pt idx="4">
                <c:v>پشتیبانی
منابع</c:v>
              </c:pt>
              <c:pt idx="5">
                <c:v>فروش نرم افزار
منابع</c:v>
              </c:pt>
            </c:strLit>
          </c:cat>
          <c:val>
            <c:numLit>
              <c:formatCode>General</c:formatCode>
              <c:ptCount val="6"/>
              <c:pt idx="0">
                <c:v>8400</c:v>
              </c:pt>
              <c:pt idx="1">
                <c:v>84500</c:v>
              </c:pt>
              <c:pt idx="2">
                <c:v>90000</c:v>
              </c:pt>
              <c:pt idx="3">
                <c:v>31500</c:v>
              </c:pt>
              <c:pt idx="4">
                <c:v>200000</c:v>
              </c:pt>
              <c:pt idx="5">
                <c:v>124000</c:v>
              </c:pt>
            </c:numLit>
          </c:val>
          <c:extLst>
            <c:ext xmlns:c16="http://schemas.microsoft.com/office/drawing/2014/chart" uri="{C3380CC4-5D6E-409C-BE32-E72D297353CC}">
              <c16:uniqueId val="{00000000-73A1-44EC-927C-348537CAA21D}"/>
            </c:ext>
          </c:extLst>
        </c:ser>
        <c:dLbls>
          <c:dLblPos val="outEnd"/>
          <c:showLegendKey val="0"/>
          <c:showVal val="1"/>
          <c:showCatName val="0"/>
          <c:showSerName val="0"/>
          <c:showPercent val="0"/>
          <c:showBubbleSize val="0"/>
        </c:dLbls>
        <c:gapWidth val="164"/>
        <c:overlap val="-22"/>
        <c:axId val="570890384"/>
        <c:axId val="570897040"/>
      </c:barChart>
      <c:catAx>
        <c:axId val="570890384"/>
        <c:scaling>
          <c:orientation val="minMax"/>
        </c:scaling>
        <c:delete val="0"/>
        <c:axPos val="b"/>
        <c:numFmt formatCode="General" sourceLinked="0"/>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897040"/>
        <c:crosses val="autoZero"/>
        <c:auto val="1"/>
        <c:lblAlgn val="ctr"/>
        <c:lblOffset val="100"/>
        <c:noMultiLvlLbl val="0"/>
        <c:extLst>
          <c:ext xmlns:c15="http://schemas.microsoft.com/office/drawing/2012/chart" uri="{F40574EE-89B7-4290-83BB-5DA773EAF853}">
            <c15:numFmt c:formatCode="General" c:sourceLinked="1"/>
          </c:ext>
        </c:extLst>
      </c:catAx>
      <c:valAx>
        <c:axId val="570897040"/>
        <c:scaling>
          <c:orientation val="minMax"/>
        </c:scaling>
        <c:delete val="0"/>
        <c:axPos val="l"/>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890384"/>
        <c:crosses val="autoZero"/>
        <c:crossBetween val="between"/>
        <c:extLst>
          <c:ext xmlns:c15="http://schemas.microsoft.com/office/drawing/2012/chart" uri="{F40574EE-89B7-4290-83BB-5DA773EAF853}">
            <c15:numFmt c:formatCode="General" c:sourceLinked="1"/>
          </c:ext>
        </c:extLs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[بودجه نقدی.xlsx]PivotChartTable1</c15:name>
        <c15:fmtId val="1"/>
      </c15:pivotSource>
      <c15:pivotOptions>
        <c15:dropZoneFilter val="1"/>
        <c15:dropZoneCategories val="1"/>
        <c15:dropZoneData val="1"/>
        <c15:dropZoneSeries val="1"/>
        <c15:dropZonesVisible val="1"/>
      </c15: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 dir="row">_xlchart.v1.0</cx:f>
      </cx:numDim>
    </cx:data>
  </cx:chartData>
  <cx:chart>
    <cx:title pos="t" align="ctr" overlay="0"/>
    <cx:plotArea>
      <cx:plotAreaRegion>
        <cx:series layoutId="waterfall" uniqueId="{574DEE46-47E7-4AD7-855E-9891DC11D27E}">
          <cx:dataLabels pos="outEnd">
            <cx:visibility seriesName="0" categoryName="0" value="1"/>
          </cx:dataLabels>
          <cx:dataId val="0"/>
          <cx:layoutPr>
            <cx:subtotals/>
          </cx:layoutPr>
        </cx:series>
      </cx:plotAreaRegion>
      <cx:axis id="0">
        <cx:catScaling gapWidth="0.5"/>
        <cx:tickLabels/>
      </cx:axis>
      <cx:axis id="1">
        <cx:valScaling/>
        <cx:majorGridlines/>
        <cx:tickLabels/>
      </cx:axis>
    </cx:plotArea>
    <cx:legend pos="t"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bodyPr/>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bodyPr wrap="square" lIns="38100" tIns="19050" rIns="38100" bIns="19050" anchor="ctr">
      <a:spAutoFit/>
    </cs:bodyPr>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solidFill>
      <a:ln>
        <a:solidFill>
          <a:schemeClr val="phClr"/>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bodyPr/>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body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bodyPr/>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4"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85"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1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63697" cy="6282447"/>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graphicFrame macro="">
          <xdr:nvGraphicFramePr>
            <xdr:cNvPr id="0" nam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mc:Fallback>
    </mc:AlternateContent>
    <xdr:clientData/>
  </xdr:absoluteAnchor>
</xdr:wsDr>
</file>

<file path=xl/drawings/drawing2.xml><?xml version="1.0" encoding="utf-8"?>
<c:userShapes xmlns:c="http://schemas.openxmlformats.org/drawingml/2006/chart">
  <cdr:relSizeAnchor xmlns:cdr="http://schemas.openxmlformats.org/drawingml/2006/chartDrawing">
    <cdr:from>
      <cdr:x>0</cdr:x>
      <cdr:y>0</cdr:y>
    </cdr:from>
    <cdr:to>
      <cdr:x>1</cdr:x>
      <cdr:y>1</cdr:y>
    </cdr:to>
    <cdr:sp macro="" textlink="">
      <cdr:nvSpPr>
        <cdr:cNvPr id="2" name="Rectangle 1">
          <a:extLst xmlns:a="http://schemas.openxmlformats.org/drawingml/2006/main">
            <a:ext uri="{FF2B5EF4-FFF2-40B4-BE49-F238E27FC236}">
              <a16:creationId xmlns:a16="http://schemas.microsoft.com/office/drawing/2014/main" id="{C0282B9E-E121-4392-B509-64B96F936386}"/>
            </a:ext>
          </a:extLst>
        </cdr:cNvPr>
        <cdr:cNvSpPr>
          <a:spLocks xmlns:a="http://schemas.openxmlformats.org/drawingml/2006/main" noTextEdit="1"/>
        </cdr:cNvSpPr>
      </cdr:nvSpPr>
      <cdr:spPr>
        <a:xfrm xmlns:a="http://schemas.openxmlformats.org/drawingml/2006/main">
          <a:off x="0" y="0"/>
          <a:ext cx="8663697" cy="6282447"/>
        </a:xfrm>
        <a:prstGeom xmlns:a="http://schemas.openxmlformats.org/drawingml/2006/main" prst="rect">
          <a:avLst/>
        </a:prstGeom>
        <a:solidFill xmlns:a="http://schemas.openxmlformats.org/drawingml/2006/main">
          <a:prstClr val="white"/>
        </a:solidFill>
        <a:ln xmlns:a="http://schemas.openxmlformats.org/drawingml/2006/main" w="1">
          <a:solidFill>
            <a:prstClr val="green"/>
          </a:solidFill>
        </a:ln>
      </cdr:spPr>
      <cdr:txBody>
        <a:bodyPr xmlns:a="http://schemas.openxmlformats.org/drawingml/2006/main" vertOverflow="clip" horzOverflow="clip"/>
        <a:lstStyle xmlns:a="http://schemas.openxmlformats.org/drawingml/2006/main"/>
        <a:p xmlns:a="http://schemas.openxmlformats.org/drawingml/2006/main">
          <a:r>
            <a:rPr lang="en-US" sz="1100"/>
            <a:t>This chart isn't available in your version of Excel.
Editing this shape or saving this workbook into a different file format will permanently break the chart.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73353" cy="6297706"/>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2051" cy="6293013"/>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editAs="absolute">
    <xdr:from>
      <xdr:col>7</xdr:col>
      <xdr:colOff>19050</xdr:colOff>
      <xdr:row>0</xdr:row>
      <xdr:rowOff>219075</xdr:rowOff>
    </xdr:from>
    <xdr:to>
      <xdr:col>9</xdr:col>
      <xdr:colOff>466725</xdr:colOff>
      <xdr:row>14</xdr:row>
      <xdr:rowOff>152400</xdr:rowOff>
    </xdr:to>
    <mc:AlternateContent xmlns:mc="http://schemas.openxmlformats.org/markup-compatibility/2006" xmlns:sle15="http://schemas.microsoft.com/office/drawing/2012/slicer">
      <mc:Choice Requires="sle15">
        <xdr:graphicFrame macro="">
          <xdr:nvGraphicFramePr>
            <xdr:cNvPr id="2" name="ماه">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microsoft.com/office/drawing/2010/slicer">
              <sle:slicer xmlns:sle="http://schemas.microsoft.com/office/drawing/2010/slicer" name="ماه"/>
            </a:graphicData>
          </a:graphic>
        </xdr:graphicFrame>
      </mc:Choice>
      <mc:Fallback xmlns="">
        <xdr:sp macro="" textlink="">
          <xdr:nvSpPr>
            <xdr:cNvPr id="0" name=""/>
            <xdr:cNvSpPr>
              <a:spLocks noTextEdit="1"/>
            </xdr:cNvSpPr>
          </xdr:nvSpPr>
          <xdr:spPr>
            <a:xfrm>
              <a:off x="11230213125" y="219075"/>
              <a:ext cx="1828800" cy="27432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219075</xdr:colOff>
      <xdr:row>0</xdr:row>
      <xdr:rowOff>57150</xdr:rowOff>
    </xdr:from>
    <xdr:to>
      <xdr:col>13</xdr:col>
      <xdr:colOff>19050</xdr:colOff>
      <xdr:row>15</xdr:row>
      <xdr:rowOff>28575</xdr:rowOff>
    </xdr:to>
    <mc:AlternateContent xmlns:mc="http://schemas.openxmlformats.org/markup-compatibility/2006" xmlns:sle15="http://schemas.microsoft.com/office/drawing/2012/slicer">
      <mc:Choice Requires="sle15">
        <xdr:graphicFrame macro="">
          <xdr:nvGraphicFramePr>
            <xdr:cNvPr id="3" name="نوع عامل">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microsoft.com/office/drawing/2010/slicer">
              <sle:slicer xmlns:sle="http://schemas.microsoft.com/office/drawing/2010/slicer" name="نوع عامل"/>
            </a:graphicData>
          </a:graphic>
        </xdr:graphicFrame>
      </mc:Choice>
      <mc:Fallback xmlns="">
        <xdr:sp macro="" textlink="">
          <xdr:nvSpPr>
            <xdr:cNvPr id="0" name=""/>
            <xdr:cNvSpPr>
              <a:spLocks noTextEdit="1"/>
            </xdr:cNvSpPr>
          </xdr:nvSpPr>
          <xdr:spPr>
            <a:xfrm>
              <a:off x="11227946175" y="57150"/>
              <a:ext cx="1828800" cy="2971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atin" refreshedDate="43472.68596909722" backgroundQuery="1" createdVersion="6" refreshedVersion="6" minRefreshableVersion="3" recordCount="0" supportSubquery="1" supportAdvancedDrill="1" xr:uid="{00000000-000A-0000-FFFF-FFFF00000000}">
  <cacheSource type="external" connectionId="3">
    <extLst>
      <ext xmlns:x14="http://schemas.microsoft.com/office/spreadsheetml/2009/9/main" uri="{F057638F-6D5F-4e77-A914-E7F072B9BCA8}">
        <x14:sourceConnection name="ThisWorkbookDataModel"/>
      </ext>
    </extLst>
  </cacheSource>
  <cacheFields count="3">
    <cacheField name="[data].[نوع عامل].[نوع عامل]" caption="نوع عامل" numFmtId="0" hierarchy="4" level="1">
      <sharedItems count="6">
        <s v="بیمه و مالیات"/>
        <s v="حقوق و دستمزد"/>
        <s v="حقوق و دستمزد مدیران"/>
        <s v="اسناد دریافتنی وصول شده"/>
        <s v="پشتیبانی"/>
        <s v="فروش نرم افزار"/>
      </sharedItems>
    </cacheField>
    <cacheField name="[Measures].[Sum of مبلغ]" caption="Sum of مبلغ" numFmtId="0" hierarchy="11" level="32767"/>
    <cacheField name="[asamtion].[ماهیت].[ماهیت]" caption="ماهیت" numFmtId="0" hierarchy="1" level="1">
      <sharedItems count="2">
        <s v="مصارف"/>
        <s v="منابع"/>
      </sharedItems>
    </cacheField>
  </cacheFields>
  <cacheHierarchies count="12">
    <cacheHierarchy uniqueName="[asamtion].[عنوان]" caption="عنوان" attribute="1" defaultMemberUniqueName="[asamtion].[عنوان].[All]" allUniqueName="[asamtion].[عنوان].[All]" dimensionUniqueName="[asamtion]" displayFolder="" count="0" memberValueDatatype="130" unbalanced="0"/>
    <cacheHierarchy uniqueName="[asamtion].[ماهیت]" caption="ماهیت" attribute="1" defaultMemberUniqueName="[asamtion].[ماهیت].[All]" allUniqueName="[asamtion].[ماهیت].[All]" dimensionUniqueName="[asamtion]" displayFolder="" count="2" memberValueDatatype="130" unbalanced="0">
      <fieldsUsage count="2">
        <fieldUsage x="-1"/>
        <fieldUsage x="2"/>
      </fieldsUsage>
    </cacheHierarchy>
    <cacheHierarchy uniqueName="[data].[ماه]" caption="ماه" attribute="1" defaultMemberUniqueName="[data].[ماه].[All]" allUniqueName="[data].[ماه].[All]" dimensionUniqueName="[data]" displayFolder="" count="0" memberValueDatatype="130" unbalanced="0"/>
    <cacheHierarchy uniqueName="[data].[مبلغ]" caption="مبلغ" attribute="1" defaultMemberUniqueName="[data].[مبلغ].[All]" allUniqueName="[data].[مبلغ].[All]" dimensionUniqueName="[data]" displayFolder="" count="0" memberValueDatatype="20" unbalanced="0"/>
    <cacheHierarchy uniqueName="[data].[نوع عامل]" caption="نوع عامل" attribute="1" defaultMemberUniqueName="[data].[نوع عامل].[All]" allUniqueName="[data].[نوع عامل].[All]" dimensionUniqueName="[data]" displayFolder="" count="2" memberValueDatatype="130" unbalanced="0">
      <fieldsUsage count="2">
        <fieldUsage x="-1"/>
        <fieldUsage x="0"/>
      </fieldsUsage>
    </cacheHierarchy>
    <cacheHierarchy uniqueName="[data].[توضیحات]" caption="توضیحات" attribute="1" defaultMemberUniqueName="[data].[توضیحات].[All]" allUniqueName="[data].[توضیحات].[All]" dimensionUniqueName="[data]" displayFolder="" count="0" memberValueDatatype="130" unbalanced="0"/>
    <cacheHierarchy uniqueName="[data].[وضعیت]" caption="وضعیت" attribute="1" defaultMemberUniqueName="[data].[وضعیت].[All]" allUniqueName="[data].[وضعیت].[All]" dimensionUniqueName="[data]" displayFolder="" count="0" memberValueDatatype="20" unbalanced="0"/>
    <cacheHierarchy uniqueName="[data].[محقق شده]" caption="محقق شده" attribute="1" defaultMemberUniqueName="[data].[محقق شده].[All]" allUniqueName="[data].[محقق شده].[All]" dimensionUniqueName="[data]" displayFolder="" count="0" memberValueDatatype="130" unbalanced="0"/>
    <cacheHierarchy uniqueName="[Measures].[__XL_Count data]" caption="__XL_Count data" measure="1" displayFolder="" measureGroup="data" count="0" hidden="1"/>
    <cacheHierarchy uniqueName="[Measures].[__XL_Count asamtion]" caption="__XL_Count asamtion" measure="1" displayFolder="" measureGroup="asamtion" count="0" hidden="1"/>
    <cacheHierarchy uniqueName="[Measures].[__No measures defined]" caption="__No measures defined" measure="1" displayFolder="" count="0" hidden="1"/>
    <cacheHierarchy uniqueName="[Measures].[Sum of مبلغ]" caption="Sum of مبلغ" measure="1" displayFolder="" measureGroup="data" count="0" oneField="1" hidden="1">
      <fieldsUsage count="1">
        <fieldUsage x="1"/>
      </fieldsUsage>
      <extLst>
        <ext xmlns:x15="http://schemas.microsoft.com/office/spreadsheetml/2010/11/main" uri="{B97F6D7D-B522-45F9-BDA1-12C45D357490}">
          <x15:cacheHierarchy aggregatedColumn="3"/>
        </ext>
      </extLst>
    </cacheHierarchy>
  </cacheHierarchies>
  <kpis count="0"/>
  <dimensions count="3">
    <dimension name="asamtion" uniqueName="[asamtion]" caption="asamtion"/>
    <dimension name="data" uniqueName="[data]" caption="data"/>
    <dimension measure="1" name="Measures" uniqueName="[Measures]" caption="Measures"/>
  </dimensions>
  <measureGroups count="2">
    <measureGroup name="asamtion" caption="asamtion"/>
    <measureGroup name="data" caption="data"/>
  </measureGroups>
  <maps count="3">
    <map measureGroup="0" dimension="0"/>
    <map measureGroup="1" dimension="0"/>
    <map measureGroup="1" dimension="1"/>
  </maps>
  <extLst>
    <ext xmlns:x14="http://schemas.microsoft.com/office/spreadsheetml/2009/9/main" uri="{725AE2AE-9491-48be-B2B4-4EB974FC3084}">
      <x14:pivotCacheDefinition pivotCacheId="1"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FFFF-FFFF00000000}" name="PivotChar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A1:B10" firstHeaderRow="1" firstDataRow="1" firstDataCol="1"/>
  <pivotFields count="3">
    <pivotField axis="axisRow" allDrilled="1" showAll="0" dataSourceSort="1" defaultAttributeDrillState="1">
      <items count="7">
        <item x="0"/>
        <item x="1"/>
        <item x="2"/>
        <item x="3"/>
        <item x="4"/>
        <item x="5"/>
        <item t="default"/>
      </items>
    </pivotField>
    <pivotField dataField="1" showAll="0"/>
    <pivotField axis="axisRow" allDrilled="1" showAll="0" dataSourceSort="1" defaultAttributeDrillState="1">
      <items count="3">
        <item x="0"/>
        <item x="1"/>
        <item t="default"/>
      </items>
    </pivotField>
  </pivotFields>
  <rowFields count="2">
    <field x="2"/>
    <field x="0"/>
  </rowFields>
  <rowItems count="9">
    <i>
      <x/>
    </i>
    <i r="1">
      <x/>
    </i>
    <i r="1">
      <x v="1"/>
    </i>
    <i r="1">
      <x v="2"/>
    </i>
    <i>
      <x v="1"/>
    </i>
    <i r="1">
      <x v="3"/>
    </i>
    <i r="1">
      <x v="4"/>
    </i>
    <i r="1">
      <x v="5"/>
    </i>
    <i t="grand">
      <x/>
    </i>
  </rowItems>
  <colItems count="1">
    <i/>
  </colItems>
  <dataFields count="1">
    <dataField name="Sum of مبلغ" fld="1" baseField="0" baseItem="0"/>
  </dataFields>
  <chartFormats count="1">
    <chartFormat chart="1" format="8" series="1">
      <pivotArea type="data" outline="0" fieldPosition="0">
        <references count="1">
          <reference field="4294967294" count="1" selected="0">
            <x v="0"/>
          </reference>
        </references>
      </pivotArea>
    </chartFormat>
  </chartFormats>
  <pivotHierarchies count="12">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rowHierarchiesUsage count="2">
    <rowHierarchyUsage hierarchyUsage="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9" columnCount="1" cacheId="1">
        <x15:pivotRow count="1">
          <x15:c>
            <x15:v>182900</x15:v>
          </x15:c>
        </x15:pivotRow>
        <x15:pivotRow count="1">
          <x15:c>
            <x15:v>8400</x15:v>
          </x15:c>
        </x15:pivotRow>
        <x15:pivotRow count="1">
          <x15:c>
            <x15:v>84500</x15:v>
          </x15:c>
        </x15:pivotRow>
        <x15:pivotRow count="1">
          <x15:c>
            <x15:v>90000</x15:v>
          </x15:c>
        </x15:pivotRow>
        <x15:pivotRow count="1">
          <x15:c>
            <x15:v>355500</x15:v>
          </x15:c>
        </x15:pivotRow>
        <x15:pivotRow count="1">
          <x15:c>
            <x15:v>31500</x15:v>
          </x15:c>
        </x15:pivotRow>
        <x15:pivotRow count="1">
          <x15:c>
            <x15:v>200000</x15:v>
          </x15:c>
        </x15:pivotRow>
        <x15:pivotRow count="1">
          <x15:c>
            <x15:v>124000</x15:v>
          </x15:c>
        </x15:pivotRow>
        <x15:pivotRow count="1">
          <x15:c>
            <x15:v>538400</x15:v>
          </x15:c>
        </x15:pivotRow>
      </x15:pivotTableData>
    </ext>
    <ext xmlns:x15="http://schemas.microsoft.com/office/spreadsheetml/2010/11/main" uri="{E67621CE-5B39-4880-91FE-76760E9C1902}">
      <x15:pivotTableUISettings>
        <x15:activeTabTopLevelEntity name="[data]"/>
        <x15:activeTabTopLevelEntity name="[asamtion]"/>
      </x15:pivotTableUISettings>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ماه" xr10:uid="{00000000-0013-0000-FFFF-FFFF01000000}" sourceName="ماه">
  <extLst>
    <x:ext xmlns:x15="http://schemas.microsoft.com/office/spreadsheetml/2010/11/main" uri="{2F2917AC-EB37-4324-AD4E-5DD8C200BD13}">
      <x15:tableSlicerCache tableId="10"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نوع_عامل" xr10:uid="{00000000-0013-0000-FFFF-FFFF02000000}" sourceName="نوع عامل">
  <extLst>
    <x:ext xmlns:x15="http://schemas.microsoft.com/office/spreadsheetml/2010/11/main" uri="{2F2917AC-EB37-4324-AD4E-5DD8C200BD13}">
      <x15:tableSlicerCache tableId="10"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ماه" xr10:uid="{00000000-0014-0000-FFFF-FFFF01000000}" cache="Slicer_ماه" caption="ماه" rowHeight="241300"/>
  <slicer name="نوع عامل" xr10:uid="{00000000-0014-0000-FFFF-FFFF02000000}" cache="Slicer_نوع_عامل" caption="نوع عامل"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asamtion" displayName="asamtion" ref="A1:B22" totalsRowShown="0">
  <autoFilter ref="A1:B22" xr:uid="{00000000-0009-0000-0100-000002000000}"/>
  <tableColumns count="2">
    <tableColumn id="1" xr3:uid="{00000000-0010-0000-0000-000001000000}" name="عنوان"/>
    <tableColumn id="2" xr3:uid="{00000000-0010-0000-0000-000002000000}" name="ماهیت" dataDxfId="1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incom" displayName="incom" ref="A5:P12" totalsRowCount="1" headerRowDxfId="109" dataDxfId="108" totalsRowDxfId="107">
  <tableColumns count="16">
    <tableColumn id="1" xr3:uid="{00000000-0010-0000-0100-000001000000}" name="عنوان" totalsRowLabel="جمع ورودی" dataDxfId="106" totalsRowDxfId="105"/>
    <tableColumn id="2" xr3:uid="{00000000-0010-0000-0100-000002000000}" name=".2" dataDxfId="104" totalsRowDxfId="103"/>
    <tableColumn id="3" xr3:uid="{00000000-0010-0000-0100-000003000000}" name="فروردین" totalsRowFunction="sum" dataDxfId="102" totalsRowDxfId="101">
      <calculatedColumnFormula>SUMIFS(data[[#All],[مبلغ]],data[[#All],[ماه]],$C$16,data[[#All],[نوع عامل]],A6,data[[#All],[وضعیت]],1)</calculatedColumnFormula>
    </tableColumn>
    <tableColumn id="4" xr3:uid="{00000000-0010-0000-0100-000004000000}" name="اردیبهشت" totalsRowFunction="sum" dataDxfId="100" totalsRowDxfId="99">
      <calculatedColumnFormula>SUMIFS(data[[#All],[مبلغ]],data[[#All],[ماه]],op.out[[#Headers],[اردیبهشت]],data[[#All],[نوع عامل]],A6,data[[#All],[وضعیت]],1)</calculatedColumnFormula>
    </tableColumn>
    <tableColumn id="5" xr3:uid="{00000000-0010-0000-0100-000005000000}" name="خرداد" totalsRowFunction="sum" dataDxfId="98" totalsRowDxfId="97">
      <calculatedColumnFormula>SUMIFS(data[[#All],[مبلغ]],data[[#All],[ماه]],op.out[[#Headers],[خرداد]],data[[#All],[نوع عامل]],A6,data[[#All],[وضعیت]],1)</calculatedColumnFormula>
    </tableColumn>
    <tableColumn id="6" xr3:uid="{00000000-0010-0000-0100-000006000000}" name="تیر" totalsRowFunction="sum" dataDxfId="96" totalsRowDxfId="95">
      <calculatedColumnFormula>SUMIFS(data[[#All],[مبلغ]],data[[#All],[ماه]],op.out[[#Headers],[تیر]],data[[#All],[نوع عامل]],A6,data[[#All],[وضعیت]],1)</calculatedColumnFormula>
    </tableColumn>
    <tableColumn id="7" xr3:uid="{00000000-0010-0000-0100-000007000000}" name="مرداد" totalsRowFunction="sum" dataDxfId="94" totalsRowDxfId="93">
      <calculatedColumnFormula>SUMIFS(data[[#All],[مبلغ]],data[[#All],[ماه]],op.out[[#Headers],[مرداد]],data[[#All],[نوع عامل]],A6,data[[#All],[وضعیت]],1)</calculatedColumnFormula>
    </tableColumn>
    <tableColumn id="8" xr3:uid="{00000000-0010-0000-0100-000008000000}" name="شهریور" totalsRowFunction="sum" dataDxfId="92" totalsRowDxfId="91">
      <calculatedColumnFormula>SUMIFS(data[[#All],[مبلغ]],data[[#All],[ماه]],op.out[[#Headers],[شهریور]],data[[#All],[نوع عامل]],A6,data[[#All],[وضعیت]],1)</calculatedColumnFormula>
    </tableColumn>
    <tableColumn id="9" xr3:uid="{00000000-0010-0000-0100-000009000000}" name="مهر" totalsRowFunction="sum" dataDxfId="90" totalsRowDxfId="89">
      <calculatedColumnFormula>SUMIFS(data[[#All],[مبلغ]],data[[#All],[ماه]],op.out[[#Headers],[مهر]],data[[#All],[نوع عامل]],A6,data[[#All],[وضعیت]],1)</calculatedColumnFormula>
    </tableColumn>
    <tableColumn id="10" xr3:uid="{00000000-0010-0000-0100-00000A000000}" name="آبان" totalsRowFunction="sum" dataDxfId="88" totalsRowDxfId="87">
      <calculatedColumnFormula>SUMIFS(data[[#All],[مبلغ]],data[[#All],[ماه]],op.out[[#Headers],[آبان]],data[[#All],[نوع عامل]],A6,data[[#All],[وضعیت]],1)</calculatedColumnFormula>
    </tableColumn>
    <tableColumn id="11" xr3:uid="{00000000-0010-0000-0100-00000B000000}" name="آذر" totalsRowFunction="sum" dataDxfId="86" totalsRowDxfId="85">
      <calculatedColumnFormula>SUMIFS(data[[#All],[مبلغ]],data[[#All],[ماه]],op.out[[#Headers],[آذر]],data[[#All],[نوع عامل]],A6,data[[#All],[وضعیت]],1)</calculatedColumnFormula>
    </tableColumn>
    <tableColumn id="12" xr3:uid="{00000000-0010-0000-0100-00000C000000}" name="دی" totalsRowFunction="sum" dataDxfId="84" totalsRowDxfId="83">
      <calculatedColumnFormula>SUMIFS(data[[#All],[مبلغ]],data[[#All],[ماه]],op.out[[#Headers],[دی]],data[[#All],[نوع عامل]],A6,data[[#All],[وضعیت]],1)</calculatedColumnFormula>
    </tableColumn>
    <tableColumn id="13" xr3:uid="{00000000-0010-0000-0100-00000D000000}" name="بهمن" totalsRowFunction="sum" dataDxfId="82" totalsRowDxfId="81">
      <calculatedColumnFormula>SUMIFS(data[[#All],[مبلغ]],data[[#All],[ماه]],op.out[[#Headers],[بهمن]],data[[#All],[نوع عامل]],A6,data[[#All],[وضعیت]],1)</calculatedColumnFormula>
    </tableColumn>
    <tableColumn id="14" xr3:uid="{00000000-0010-0000-0100-00000E000000}" name="اسفند" totalsRowFunction="sum" dataDxfId="80" totalsRowDxfId="79">
      <calculatedColumnFormula>SUMIFS(data[[#All],[مبلغ]],data[[#All],[ماه]],op.out[[#Headers],[اسفند]],data[[#All],[نوع عامل]],A6,data[[#All],[وضعیت]],1)</calculatedColumnFormula>
    </tableColumn>
    <tableColumn id="15" xr3:uid="{00000000-0010-0000-0100-00000F000000}" name=".3" dataDxfId="78" totalsRowDxfId="77"/>
    <tableColumn id="16" xr3:uid="{00000000-0010-0000-0100-000010000000}" name="جمع کل" totalsRowFunction="sum" dataDxfId="76" totalsRowDxfId="75">
      <calculatedColumnFormula>SUM(incom[[#This Row],[فروردین]:[.3]])</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op.out" displayName="op.out" ref="A16:P28" totalsRowCount="1" headerRowDxfId="74" dataDxfId="73" totalsRowDxfId="72" totalsRowBorderDxfId="71">
  <tableColumns count="16">
    <tableColumn id="1" xr3:uid="{00000000-0010-0000-0200-000001000000}" name="عنوان" totalsRowLabel="جمع" dataDxfId="70" totalsRowDxfId="69"/>
    <tableColumn id="2" xr3:uid="{00000000-0010-0000-0200-000002000000}" name=".2" dataDxfId="68" totalsRowDxfId="67"/>
    <tableColumn id="3" xr3:uid="{00000000-0010-0000-0200-000003000000}" name="فروردین" totalsRowFunction="sum" dataDxfId="66" totalsRowDxfId="65">
      <calculatedColumnFormula>SUMIFS(data[[#All],[مبلغ]],data[[#All],[ماه]],$C$16,data[[#All],[نوع عامل]],A17,data[[#All],[وضعیت]],1)</calculatedColumnFormula>
    </tableColumn>
    <tableColumn id="4" xr3:uid="{00000000-0010-0000-0200-000004000000}" name="اردیبهشت" totalsRowFunction="sum" dataDxfId="64" totalsRowDxfId="63">
      <calculatedColumnFormula>SUMIFS(data[[#All],[مبلغ]],data[[#All],[ماه]],op.out[[#Headers],[اردیبهشت]],data[[#All],[نوع عامل]],A17,data[[#All],[وضعیت]],1)</calculatedColumnFormula>
    </tableColumn>
    <tableColumn id="5" xr3:uid="{00000000-0010-0000-0200-000005000000}" name="خرداد" totalsRowFunction="sum" dataDxfId="62" totalsRowDxfId="61">
      <calculatedColumnFormula>SUMIFS(data[[#All],[مبلغ]],data[[#All],[ماه]],op.out[[#Headers],[خرداد]],data[[#All],[نوع عامل]],A17,data[[#All],[وضعیت]],1)</calculatedColumnFormula>
    </tableColumn>
    <tableColumn id="6" xr3:uid="{00000000-0010-0000-0200-000006000000}" name="تیر" totalsRowFunction="sum" dataDxfId="60" totalsRowDxfId="59">
      <calculatedColumnFormula>SUMIFS(data[[#All],[مبلغ]],data[[#All],[ماه]],op.out[[#Headers],[تیر]],data[[#All],[نوع عامل]],A17,data[[#All],[وضعیت]],1)</calculatedColumnFormula>
    </tableColumn>
    <tableColumn id="7" xr3:uid="{00000000-0010-0000-0200-000007000000}" name="مرداد" totalsRowFunction="sum" dataDxfId="58" totalsRowDxfId="57">
      <calculatedColumnFormula>SUMIFS(data[[#All],[مبلغ]],data[[#All],[ماه]],op.out[[#Headers],[مرداد]],data[[#All],[نوع عامل]],A17,data[[#All],[وضعیت]],1)</calculatedColumnFormula>
    </tableColumn>
    <tableColumn id="8" xr3:uid="{00000000-0010-0000-0200-000008000000}" name="شهریور" totalsRowFunction="sum" dataDxfId="56" totalsRowDxfId="55">
      <calculatedColumnFormula>SUMIFS(data[[#All],[مبلغ]],data[[#All],[ماه]],op.out[[#Headers],[شهریور]],data[[#All],[نوع عامل]],A17,data[[#All],[وضعیت]],1)</calculatedColumnFormula>
    </tableColumn>
    <tableColumn id="9" xr3:uid="{00000000-0010-0000-0200-000009000000}" name="مهر" totalsRowFunction="sum" dataDxfId="54" totalsRowDxfId="53">
      <calculatedColumnFormula>SUMIFS(data[[#All],[مبلغ]],data[[#All],[ماه]],op.out[[#Headers],[مهر]],data[[#All],[نوع عامل]],A17,data[[#All],[وضعیت]],1)</calculatedColumnFormula>
    </tableColumn>
    <tableColumn id="10" xr3:uid="{00000000-0010-0000-0200-00000A000000}" name="آبان" totalsRowFunction="sum" dataDxfId="52" totalsRowDxfId="51">
      <calculatedColumnFormula>SUMIFS(data[[#All],[مبلغ]],data[[#All],[ماه]],op.out[[#Headers],[آبان]],data[[#All],[نوع عامل]],A17,data[[#All],[وضعیت]],1)</calculatedColumnFormula>
    </tableColumn>
    <tableColumn id="11" xr3:uid="{00000000-0010-0000-0200-00000B000000}" name="آذر" totalsRowFunction="sum" dataDxfId="50" totalsRowDxfId="49">
      <calculatedColumnFormula>SUMIFS(data[[#All],[مبلغ]],data[[#All],[ماه]],op.out[[#Headers],[آذر]],data[[#All],[نوع عامل]],A17,data[[#All],[وضعیت]],1)</calculatedColumnFormula>
    </tableColumn>
    <tableColumn id="12" xr3:uid="{00000000-0010-0000-0200-00000C000000}" name="دی" totalsRowFunction="sum" dataDxfId="48" totalsRowDxfId="47">
      <calculatedColumnFormula>SUMIFS(data[[#All],[مبلغ]],data[[#All],[ماه]],op.out[[#Headers],[دی]],data[[#All],[نوع عامل]],A17,data[[#All],[وضعیت]],1)</calculatedColumnFormula>
    </tableColumn>
    <tableColumn id="13" xr3:uid="{00000000-0010-0000-0200-00000D000000}" name="بهمن" totalsRowFunction="sum" dataDxfId="46" totalsRowDxfId="45">
      <calculatedColumnFormula>SUMIFS(data[[#All],[مبلغ]],data[[#All],[ماه]],op.out[[#Headers],[بهمن]],data[[#All],[نوع عامل]],A17,data[[#All],[وضعیت]],1)</calculatedColumnFormula>
    </tableColumn>
    <tableColumn id="14" xr3:uid="{00000000-0010-0000-0200-00000E000000}" name="اسفند" totalsRowFunction="sum" dataDxfId="44" totalsRowDxfId="43">
      <calculatedColumnFormula>SUMIFS(data[[#All],[مبلغ]],data[[#All],[ماه]],op.out[[#Headers],[اسفند]],data[[#All],[نوع عامل]],A17,data[[#All],[وضعیت]],1)</calculatedColumnFormula>
    </tableColumn>
    <tableColumn id="15" xr3:uid="{00000000-0010-0000-0200-00000F000000}" name=".3" dataDxfId="42" totalsRowDxfId="41"/>
    <tableColumn id="16" xr3:uid="{00000000-0010-0000-0200-000010000000}" name="جمع کل" totalsRowFunction="sum" dataDxfId="40" totalsRowDxfId="39">
      <calculatedColumnFormula>SUM(op.out[[#This Row],[فروردین]:[اسفند]])</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cap.out" displayName="cap.out" ref="A31:P36" totalsRowCount="1" headerRowDxfId="38" dataDxfId="37" totalsRowDxfId="36">
  <tableColumns count="16">
    <tableColumn id="1" xr3:uid="{00000000-0010-0000-0300-000001000000}" name="عنوان" totalsRowLabel="جمع" dataDxfId="35" totalsRowDxfId="34"/>
    <tableColumn id="2" xr3:uid="{00000000-0010-0000-0300-000002000000}" name=".2" dataDxfId="33" totalsRowDxfId="32"/>
    <tableColumn id="3" xr3:uid="{00000000-0010-0000-0300-000003000000}" name="فروردین" totalsRowFunction="sum" dataDxfId="31" totalsRowDxfId="30">
      <calculatedColumnFormula>SUMIFS(data[[#All],[مبلغ]],data[[#All],[ماه]],$C$16,data[[#All],[نوع عامل]],A32,data[[#All],[وضعیت]],1)</calculatedColumnFormula>
    </tableColumn>
    <tableColumn id="4" xr3:uid="{00000000-0010-0000-0300-000004000000}" name="اردیبهشت" totalsRowFunction="sum" dataDxfId="29" totalsRowDxfId="28">
      <calculatedColumnFormula>SUMIFS(data[[#All],[مبلغ]],data[[#All],[ماه]],op.out[[#Headers],[اردیبهشت]],data[[#All],[نوع عامل]],A32,data[[#All],[وضعیت]],1)</calculatedColumnFormula>
    </tableColumn>
    <tableColumn id="5" xr3:uid="{00000000-0010-0000-0300-000005000000}" name="خرداد" totalsRowFunction="sum" dataDxfId="27" totalsRowDxfId="26">
      <calculatedColumnFormula>SUMIFS(data[[#All],[مبلغ]],data[[#All],[ماه]],op.out[[#Headers],[خرداد]],data[[#All],[نوع عامل]],A32,data[[#All],[وضعیت]],1)</calculatedColumnFormula>
    </tableColumn>
    <tableColumn id="6" xr3:uid="{00000000-0010-0000-0300-000006000000}" name="تیر" totalsRowFunction="sum" dataDxfId="25" totalsRowDxfId="24">
      <calculatedColumnFormula>SUMIFS(data[[#All],[مبلغ]],data[[#All],[ماه]],op.out[[#Headers],[تیر]],data[[#All],[نوع عامل]],A32,data[[#All],[وضعیت]],1)</calculatedColumnFormula>
    </tableColumn>
    <tableColumn id="7" xr3:uid="{00000000-0010-0000-0300-000007000000}" name="مرداد" totalsRowFunction="sum" dataDxfId="23" totalsRowDxfId="22">
      <calculatedColumnFormula>SUMIFS(data[[#All],[مبلغ]],data[[#All],[ماه]],op.out[[#Headers],[مرداد]],data[[#All],[نوع عامل]],A32,data[[#All],[وضعیت]],1)</calculatedColumnFormula>
    </tableColumn>
    <tableColumn id="8" xr3:uid="{00000000-0010-0000-0300-000008000000}" name="شهریور" totalsRowFunction="sum" dataDxfId="21" totalsRowDxfId="20">
      <calculatedColumnFormula>SUMIFS(data[[#All],[مبلغ]],data[[#All],[ماه]],op.out[[#Headers],[شهریور]],data[[#All],[نوع عامل]],A32,data[[#All],[وضعیت]],1)</calculatedColumnFormula>
    </tableColumn>
    <tableColumn id="9" xr3:uid="{00000000-0010-0000-0300-000009000000}" name="مهر" totalsRowFunction="sum" dataDxfId="19" totalsRowDxfId="18">
      <calculatedColumnFormula>SUMIFS(data[[#All],[مبلغ]],data[[#All],[ماه]],op.out[[#Headers],[مهر]],data[[#All],[نوع عامل]],A32,data[[#All],[وضعیت]],1)</calculatedColumnFormula>
    </tableColumn>
    <tableColumn id="10" xr3:uid="{00000000-0010-0000-0300-00000A000000}" name="آبان" totalsRowFunction="sum" dataDxfId="17" totalsRowDxfId="16">
      <calculatedColumnFormula>SUMIFS(data[[#All],[مبلغ]],data[[#All],[ماه]],op.out[[#Headers],[آبان]],data[[#All],[نوع عامل]],A32,data[[#All],[وضعیت]],1)</calculatedColumnFormula>
    </tableColumn>
    <tableColumn id="11" xr3:uid="{00000000-0010-0000-0300-00000B000000}" name="آذر" totalsRowFunction="sum" dataDxfId="15" totalsRowDxfId="14">
      <calculatedColumnFormula>SUMIFS(data[[#All],[مبلغ]],data[[#All],[ماه]],op.out[[#Headers],[آذر]],data[[#All],[نوع عامل]],A32,data[[#All],[وضعیت]],1)</calculatedColumnFormula>
    </tableColumn>
    <tableColumn id="12" xr3:uid="{00000000-0010-0000-0300-00000C000000}" name="دی" totalsRowFunction="sum" dataDxfId="13" totalsRowDxfId="12">
      <calculatedColumnFormula>SUMIFS(data[[#All],[مبلغ]],data[[#All],[ماه]],op.out[[#Headers],[دی]],data[[#All],[نوع عامل]],A32,data[[#All],[وضعیت]],1)</calculatedColumnFormula>
    </tableColumn>
    <tableColumn id="13" xr3:uid="{00000000-0010-0000-0300-00000D000000}" name="بهمن" totalsRowFunction="sum" dataDxfId="11" totalsRowDxfId="10">
      <calculatedColumnFormula>SUMIFS(data[[#All],[مبلغ]],data[[#All],[ماه]],op.out[[#Headers],[بهمن]],data[[#All],[نوع عامل]],A32,data[[#All],[وضعیت]],1)</calculatedColumnFormula>
    </tableColumn>
    <tableColumn id="14" xr3:uid="{00000000-0010-0000-0300-00000E000000}" name="اسفند" totalsRowFunction="sum" dataDxfId="9" totalsRowDxfId="8">
      <calculatedColumnFormula>SUMIFS(data[[#All],[مبلغ]],data[[#All],[ماه]],op.out[[#Headers],[اسفند]],data[[#All],[نوع عامل]],A32,data[[#All],[وضعیت]],1)</calculatedColumnFormula>
    </tableColumn>
    <tableColumn id="15" xr3:uid="{00000000-0010-0000-0300-00000F000000}" name=".3" dataDxfId="7" totalsRowDxfId="6"/>
    <tableColumn id="16" xr3:uid="{00000000-0010-0000-0300-000010000000}" name="جمع کل" totalsRowFunction="sum" dataDxfId="5" totalsRowDxfId="4">
      <calculatedColumnFormula>SUM(cap.out[[#This Row],[فروردین]:[اسفند]])</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data" displayName="data" ref="A1:F22" totalsRowShown="0" headerRowDxfId="3">
  <autoFilter ref="A1:F22" xr:uid="{00000000-0009-0000-0100-00000A000000}"/>
  <tableColumns count="6">
    <tableColumn id="2" xr3:uid="{00000000-0010-0000-0400-000002000000}" name="ماه"/>
    <tableColumn id="1" xr3:uid="{00000000-0010-0000-0400-000001000000}" name="مبلغ" dataDxfId="2"/>
    <tableColumn id="3" xr3:uid="{00000000-0010-0000-0400-000003000000}" name="نوع عامل"/>
    <tableColumn id="4" xr3:uid="{00000000-0010-0000-0400-000004000000}" name="توضیحات"/>
    <tableColumn id="5" xr3:uid="{00000000-0010-0000-0400-000005000000}" name="وضعیت" dataDxfId="1"/>
    <tableColumn id="6" xr3:uid="{00000000-0010-0000-0400-000006000000}" name="محقق شده"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16D8973D-5821-4D8F-B955-C31E76FC73A6}">
  <we:reference id="wa104380084" version="1.0.0.0" store="en-US" storeType="OMEX"/>
  <we:alternateReferences>
    <we:reference id="WA104380084" version="1.0.0.0" store="WA104380084"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rightToLeft="1" workbookViewId="0">
      <selection activeCell="A3" sqref="A3"/>
    </sheetView>
  </sheetViews>
  <sheetFormatPr defaultRowHeight="15" x14ac:dyDescent="0.25"/>
  <cols>
    <col min="1" max="1" width="27.7109375" customWidth="1"/>
    <col min="2" max="2" width="10.42578125" style="3" customWidth="1"/>
    <col min="6" max="6" width="9.7109375" customWidth="1"/>
  </cols>
  <sheetData>
    <row r="1" spans="1:2" x14ac:dyDescent="0.25">
      <c r="A1" t="s">
        <v>39</v>
      </c>
      <c r="B1" s="3" t="s">
        <v>51</v>
      </c>
    </row>
    <row r="2" spans="1:2" x14ac:dyDescent="0.25">
      <c r="A2" t="s">
        <v>33</v>
      </c>
      <c r="B2" s="3" t="s">
        <v>52</v>
      </c>
    </row>
    <row r="3" spans="1:2" x14ac:dyDescent="0.25">
      <c r="A3" t="s">
        <v>54</v>
      </c>
      <c r="B3" s="3" t="s">
        <v>52</v>
      </c>
    </row>
    <row r="4" spans="1:2" x14ac:dyDescent="0.25">
      <c r="A4" t="s">
        <v>46</v>
      </c>
      <c r="B4" s="3" t="s">
        <v>52</v>
      </c>
    </row>
    <row r="5" spans="1:2" x14ac:dyDescent="0.25">
      <c r="A5" t="s">
        <v>47</v>
      </c>
      <c r="B5" s="3" t="s">
        <v>52</v>
      </c>
    </row>
    <row r="6" spans="1:2" x14ac:dyDescent="0.25">
      <c r="A6" t="s">
        <v>14</v>
      </c>
      <c r="B6" s="3" t="s">
        <v>52</v>
      </c>
    </row>
    <row r="7" spans="1:2" x14ac:dyDescent="0.25">
      <c r="A7" t="s">
        <v>22</v>
      </c>
      <c r="B7" s="3" t="s">
        <v>53</v>
      </c>
    </row>
    <row r="8" spans="1:2" x14ac:dyDescent="0.25">
      <c r="A8" t="s">
        <v>21</v>
      </c>
      <c r="B8" s="3" t="s">
        <v>53</v>
      </c>
    </row>
    <row r="9" spans="1:2" x14ac:dyDescent="0.25">
      <c r="A9" t="s">
        <v>19</v>
      </c>
      <c r="B9" s="3" t="s">
        <v>53</v>
      </c>
    </row>
    <row r="10" spans="1:2" x14ac:dyDescent="0.25">
      <c r="A10" t="s">
        <v>20</v>
      </c>
      <c r="B10" s="3" t="s">
        <v>53</v>
      </c>
    </row>
    <row r="11" spans="1:2" x14ac:dyDescent="0.25">
      <c r="A11" t="s">
        <v>45</v>
      </c>
      <c r="B11" s="3" t="s">
        <v>53</v>
      </c>
    </row>
    <row r="12" spans="1:2" x14ac:dyDescent="0.25">
      <c r="A12" t="s">
        <v>23</v>
      </c>
      <c r="B12" s="3" t="s">
        <v>53</v>
      </c>
    </row>
    <row r="13" spans="1:2" x14ac:dyDescent="0.25">
      <c r="A13" t="s">
        <v>24</v>
      </c>
      <c r="B13" s="3" t="s">
        <v>53</v>
      </c>
    </row>
    <row r="14" spans="1:2" x14ac:dyDescent="0.25">
      <c r="A14" t="s">
        <v>49</v>
      </c>
      <c r="B14" s="3" t="s">
        <v>53</v>
      </c>
    </row>
    <row r="15" spans="1:2" x14ac:dyDescent="0.25">
      <c r="A15" t="s">
        <v>25</v>
      </c>
      <c r="B15" s="3" t="s">
        <v>53</v>
      </c>
    </row>
    <row r="16" spans="1:2" x14ac:dyDescent="0.25">
      <c r="A16" t="s">
        <v>26</v>
      </c>
      <c r="B16" s="3" t="s">
        <v>53</v>
      </c>
    </row>
    <row r="17" spans="1:2" x14ac:dyDescent="0.25">
      <c r="A17" t="s">
        <v>29</v>
      </c>
      <c r="B17" s="3" t="s">
        <v>53</v>
      </c>
    </row>
    <row r="18" spans="1:2" x14ac:dyDescent="0.25">
      <c r="A18" t="s">
        <v>30</v>
      </c>
      <c r="B18" s="3" t="s">
        <v>53</v>
      </c>
    </row>
    <row r="19" spans="1:2" x14ac:dyDescent="0.25">
      <c r="A19" t="s">
        <v>31</v>
      </c>
      <c r="B19" s="3" t="s">
        <v>53</v>
      </c>
    </row>
    <row r="20" spans="1:2" x14ac:dyDescent="0.25">
      <c r="A20" t="s">
        <v>34</v>
      </c>
      <c r="B20" s="3" t="s">
        <v>53</v>
      </c>
    </row>
    <row r="21" spans="1:2" x14ac:dyDescent="0.25">
      <c r="A21" t="s">
        <v>55</v>
      </c>
      <c r="B21" s="3" t="s">
        <v>53</v>
      </c>
    </row>
    <row r="22" spans="1:2" x14ac:dyDescent="0.25">
      <c r="A22" t="s">
        <v>56</v>
      </c>
      <c r="B22" s="3" t="s">
        <v>53</v>
      </c>
    </row>
  </sheetData>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report!$A$6:$A$35</xm:f>
          </x14:formula1>
          <xm:sqref>A6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38"/>
  <sheetViews>
    <sheetView showGridLines="0" rightToLeft="1" tabSelected="1" topLeftCell="A19" zoomScale="80" zoomScaleNormal="80" workbookViewId="0">
      <selection activeCell="X3" sqref="X3"/>
    </sheetView>
  </sheetViews>
  <sheetFormatPr defaultColWidth="9" defaultRowHeight="22.5" x14ac:dyDescent="0.55000000000000004"/>
  <cols>
    <col min="1" max="1" width="22.42578125" style="8" customWidth="1"/>
    <col min="2" max="2" width="2.7109375" style="5" hidden="1" customWidth="1"/>
    <col min="3" max="5" width="11.28515625" style="11" customWidth="1"/>
    <col min="6" max="6" width="11.140625" style="11" customWidth="1"/>
    <col min="7" max="7" width="12.5703125" style="11" bestFit="1" customWidth="1"/>
    <col min="8" max="8" width="13.28515625" style="11" bestFit="1" customWidth="1"/>
    <col min="9" max="10" width="13" style="11" bestFit="1" customWidth="1"/>
    <col min="11" max="11" width="12.85546875" style="11" bestFit="1" customWidth="1"/>
    <col min="12" max="13" width="13.28515625" style="11" bestFit="1" customWidth="1"/>
    <col min="14" max="14" width="13" style="11" bestFit="1" customWidth="1"/>
    <col min="15" max="15" width="2.28515625" style="11" hidden="1" customWidth="1"/>
    <col min="16" max="16" width="13.42578125" style="11" bestFit="1" customWidth="1"/>
    <col min="17" max="17" width="36.5703125" style="5" customWidth="1"/>
    <col min="18" max="16384" width="9" style="5"/>
  </cols>
  <sheetData>
    <row r="1" spans="1:16" ht="19.5" customHeight="1" x14ac:dyDescent="0.6">
      <c r="A1" s="9" t="s">
        <v>0</v>
      </c>
      <c r="B1" s="4"/>
      <c r="C1" s="22" t="s">
        <v>57</v>
      </c>
    </row>
    <row r="2" spans="1:16" ht="27.75" customHeight="1" x14ac:dyDescent="0.55000000000000004">
      <c r="C2" s="12" t="s">
        <v>1</v>
      </c>
      <c r="D2" s="12" t="s">
        <v>2</v>
      </c>
      <c r="E2" s="12" t="s">
        <v>3</v>
      </c>
      <c r="F2" s="12" t="s">
        <v>4</v>
      </c>
      <c r="G2" s="12" t="s">
        <v>5</v>
      </c>
      <c r="H2" s="12" t="s">
        <v>6</v>
      </c>
      <c r="I2" s="12" t="s">
        <v>7</v>
      </c>
      <c r="J2" s="12" t="s">
        <v>8</v>
      </c>
      <c r="K2" s="12" t="s">
        <v>9</v>
      </c>
      <c r="L2" s="12" t="s">
        <v>10</v>
      </c>
      <c r="M2" s="12" t="s">
        <v>11</v>
      </c>
      <c r="N2" s="12" t="s">
        <v>12</v>
      </c>
      <c r="O2" s="13"/>
      <c r="P2" s="12" t="s">
        <v>36</v>
      </c>
    </row>
    <row r="3" spans="1:16" ht="31.5" customHeight="1" x14ac:dyDescent="0.6">
      <c r="A3" s="10" t="s">
        <v>13</v>
      </c>
      <c r="B3" s="7"/>
      <c r="C3" s="16">
        <v>179000</v>
      </c>
      <c r="D3" s="16">
        <f t="shared" ref="D3:N3" si="0">C38</f>
        <v>179000</v>
      </c>
      <c r="E3" s="16">
        <f t="shared" si="0"/>
        <v>179000</v>
      </c>
      <c r="F3" s="16">
        <f t="shared" si="0"/>
        <v>179000</v>
      </c>
      <c r="G3" s="16">
        <f t="shared" si="0"/>
        <v>179000</v>
      </c>
      <c r="H3" s="16">
        <f t="shared" si="0"/>
        <v>179000</v>
      </c>
      <c r="I3" s="16">
        <f t="shared" si="0"/>
        <v>179000</v>
      </c>
      <c r="J3" s="16">
        <f t="shared" si="0"/>
        <v>179000</v>
      </c>
      <c r="K3" s="16">
        <f t="shared" si="0"/>
        <v>179000</v>
      </c>
      <c r="L3" s="16">
        <f t="shared" si="0"/>
        <v>179000</v>
      </c>
      <c r="M3" s="16">
        <f t="shared" si="0"/>
        <v>179895</v>
      </c>
      <c r="N3" s="16">
        <f t="shared" si="0"/>
        <v>176215</v>
      </c>
      <c r="O3" s="16"/>
      <c r="P3" s="16">
        <f>N3</f>
        <v>176215</v>
      </c>
    </row>
    <row r="4" spans="1:16" ht="24" x14ac:dyDescent="0.6">
      <c r="A4" s="9" t="s">
        <v>17</v>
      </c>
      <c r="B4" s="4"/>
    </row>
    <row r="5" spans="1:16" ht="33.75" customHeight="1" x14ac:dyDescent="0.55000000000000004">
      <c r="A5" s="8" t="s">
        <v>39</v>
      </c>
      <c r="B5" s="1" t="s">
        <v>37</v>
      </c>
      <c r="C5" s="14" t="s">
        <v>1</v>
      </c>
      <c r="D5" s="14" t="s">
        <v>2</v>
      </c>
      <c r="E5" s="14" t="s">
        <v>3</v>
      </c>
      <c r="F5" s="14" t="s">
        <v>4</v>
      </c>
      <c r="G5" s="14" t="s">
        <v>5</v>
      </c>
      <c r="H5" s="14" t="s">
        <v>6</v>
      </c>
      <c r="I5" s="14" t="s">
        <v>7</v>
      </c>
      <c r="J5" s="14" t="s">
        <v>8</v>
      </c>
      <c r="K5" s="14" t="s">
        <v>9</v>
      </c>
      <c r="L5" s="14" t="s">
        <v>10</v>
      </c>
      <c r="M5" s="14" t="s">
        <v>11</v>
      </c>
      <c r="N5" s="14" t="s">
        <v>12</v>
      </c>
      <c r="O5" s="14" t="s">
        <v>38</v>
      </c>
      <c r="P5" s="14" t="s">
        <v>36</v>
      </c>
    </row>
    <row r="6" spans="1:16" ht="24" x14ac:dyDescent="0.6">
      <c r="A6" s="8" t="s">
        <v>33</v>
      </c>
      <c r="B6" s="4"/>
      <c r="C6" s="14">
        <f>SUMIFS(data[[#All],[مبلغ]],data[[#All],[ماه]],$C$16,data[[#All],[نوع عامل]],A6,data[[#All],[وضعیت]],1)</f>
        <v>0</v>
      </c>
      <c r="D6" s="14">
        <f>SUMIFS(data[[#All],[مبلغ]],data[[#All],[ماه]],op.out[[#Headers],[اردیبهشت]],data[[#All],[نوع عامل]],A6,data[[#All],[وضعیت]],1)</f>
        <v>0</v>
      </c>
      <c r="E6" s="14">
        <f>SUMIFS(data[[#All],[مبلغ]],data[[#All],[ماه]],op.out[[#Headers],[خرداد]],data[[#All],[نوع عامل]],A6,data[[#All],[وضعیت]],1)</f>
        <v>0</v>
      </c>
      <c r="F6" s="14">
        <f>SUMIFS(data[[#All],[مبلغ]],data[[#All],[ماه]],op.out[[#Headers],[تیر]],data[[#All],[نوع عامل]],A6,data[[#All],[وضعیت]],1)</f>
        <v>0</v>
      </c>
      <c r="G6" s="14">
        <f>SUMIFS(data[[#All],[مبلغ]],data[[#All],[ماه]],op.out[[#Headers],[مرداد]],data[[#All],[نوع عامل]],A6,data[[#All],[وضعیت]],1)</f>
        <v>0</v>
      </c>
      <c r="H6" s="14">
        <f>SUMIFS(data[[#All],[مبلغ]],data[[#All],[ماه]],op.out[[#Headers],[شهریور]],data[[#All],[نوع عامل]],A6,data[[#All],[وضعیت]],1)</f>
        <v>0</v>
      </c>
      <c r="I6" s="14">
        <f>SUMIFS(data[[#All],[مبلغ]],data[[#All],[ماه]],op.out[[#Headers],[مهر]],data[[#All],[نوع عامل]],A6,data[[#All],[وضعیت]],1)</f>
        <v>0</v>
      </c>
      <c r="J6" s="14">
        <f>SUMIFS(data[[#All],[مبلغ]],data[[#All],[ماه]],op.out[[#Headers],[آبان]],data[[#All],[نوع عامل]],A6,data[[#All],[وضعیت]],1)</f>
        <v>0</v>
      </c>
      <c r="K6" s="14">
        <f>SUMIFS(data[[#All],[مبلغ]],data[[#All],[ماه]],op.out[[#Headers],[آذر]],data[[#All],[نوع عامل]],A6,data[[#All],[وضعیت]],1)</f>
        <v>0</v>
      </c>
      <c r="L6" s="14">
        <f>SUMIFS(data[[#All],[مبلغ]],data[[#All],[ماه]],op.out[[#Headers],[دی]],data[[#All],[نوع عامل]],A6,data[[#All],[وضعیت]],1)</f>
        <v>0</v>
      </c>
      <c r="M6" s="14">
        <f>SUMIFS(data[[#All],[مبلغ]],data[[#All],[ماه]],op.out[[#Headers],[بهمن]],data[[#All],[نوع عامل]],A6,data[[#All],[وضعیت]],1)</f>
        <v>0</v>
      </c>
      <c r="N6" s="14">
        <f>SUMIFS(data[[#All],[مبلغ]],data[[#All],[ماه]],op.out[[#Headers],[اسفند]],data[[#All],[نوع عامل]],A6,data[[#All],[وضعیت]],1)</f>
        <v>0</v>
      </c>
      <c r="O6" s="14"/>
      <c r="P6" s="14">
        <f>SUM(incom[[#This Row],[فروردین]:[.3]])</f>
        <v>0</v>
      </c>
    </row>
    <row r="7" spans="1:16" x14ac:dyDescent="0.55000000000000004">
      <c r="A7" s="8" t="s">
        <v>54</v>
      </c>
      <c r="C7" s="14">
        <f>SUMIFS(data[[#All],[مبلغ]],data[[#All],[ماه]],$C$16,data[[#All],[نوع عامل]],A7,data[[#All],[وضعیت]],1)</f>
        <v>0</v>
      </c>
      <c r="D7" s="14">
        <f>SUMIFS(data[[#All],[مبلغ]],data[[#All],[ماه]],op.out[[#Headers],[اردیبهشت]],data[[#All],[نوع عامل]],A7,data[[#All],[وضعیت]],1)</f>
        <v>0</v>
      </c>
      <c r="E7" s="14">
        <f>SUMIFS(data[[#All],[مبلغ]],data[[#All],[ماه]],op.out[[#Headers],[خرداد]],data[[#All],[نوع عامل]],A7,data[[#All],[وضعیت]],1)</f>
        <v>0</v>
      </c>
      <c r="F7" s="14">
        <f>SUMIFS(data[[#All],[مبلغ]],data[[#All],[ماه]],op.out[[#Headers],[تیر]],data[[#All],[نوع عامل]],A7,data[[#All],[وضعیت]],1)</f>
        <v>0</v>
      </c>
      <c r="G7" s="14">
        <f>SUMIFS(data[[#All],[مبلغ]],data[[#All],[ماه]],op.out[[#Headers],[مرداد]],data[[#All],[نوع عامل]],A7,data[[#All],[وضعیت]],1)</f>
        <v>0</v>
      </c>
      <c r="H7" s="14">
        <f>SUMIFS(data[[#All],[مبلغ]],data[[#All],[ماه]],op.out[[#Headers],[شهریور]],data[[#All],[نوع عامل]],A7,data[[#All],[وضعیت]],1)</f>
        <v>0</v>
      </c>
      <c r="I7" s="14">
        <f>SUMIFS(data[[#All],[مبلغ]],data[[#All],[ماه]],op.out[[#Headers],[مهر]],data[[#All],[نوع عامل]],A7,data[[#All],[وضعیت]],1)</f>
        <v>0</v>
      </c>
      <c r="J7" s="14">
        <f>SUMIFS(data[[#All],[مبلغ]],data[[#All],[ماه]],op.out[[#Headers],[آبان]],data[[#All],[نوع عامل]],A7,data[[#All],[وضعیت]],1)</f>
        <v>0</v>
      </c>
      <c r="K7" s="14">
        <f>SUMIFS(data[[#All],[مبلغ]],data[[#All],[ماه]],op.out[[#Headers],[آذر]],data[[#All],[نوع عامل]],A7,data[[#All],[وضعیت]],1)</f>
        <v>0</v>
      </c>
      <c r="L7" s="14">
        <f>SUMIFS(data[[#All],[مبلغ]],data[[#All],[ماه]],op.out[[#Headers],[دی]],data[[#All],[نوع عامل]],A7,data[[#All],[وضعیت]],1)</f>
        <v>101</v>
      </c>
      <c r="M7" s="14">
        <f>SUMIFS(data[[#All],[مبلغ]],data[[#All],[ماه]],op.out[[#Headers],[بهمن]],data[[#All],[نوع عامل]],A7,data[[#All],[وضعیت]],1)</f>
        <v>800</v>
      </c>
      <c r="N7" s="14">
        <f>SUMIFS(data[[#All],[مبلغ]],data[[#All],[ماه]],op.out[[#Headers],[اسفند]],data[[#All],[نوع عامل]],A7,data[[#All],[وضعیت]],1)</f>
        <v>40</v>
      </c>
      <c r="O7" s="14"/>
      <c r="P7" s="14">
        <f>SUM(incom[[#This Row],[فروردین]:[.3]])</f>
        <v>941</v>
      </c>
    </row>
    <row r="8" spans="1:16" x14ac:dyDescent="0.55000000000000004">
      <c r="A8" s="8" t="s">
        <v>46</v>
      </c>
      <c r="C8" s="14">
        <f>SUMIFS(data[[#All],[مبلغ]],data[[#All],[ماه]],$C$16,data[[#All],[نوع عامل]],A8,data[[#All],[وضعیت]],1)</f>
        <v>0</v>
      </c>
      <c r="D8" s="14">
        <f>SUMIFS(data[[#All],[مبلغ]],data[[#All],[ماه]],op.out[[#Headers],[اردیبهشت]],data[[#All],[نوع عامل]],A8,data[[#All],[وضعیت]],1)</f>
        <v>0</v>
      </c>
      <c r="E8" s="14">
        <f>SUMIFS(data[[#All],[مبلغ]],data[[#All],[ماه]],op.out[[#Headers],[خرداد]],data[[#All],[نوع عامل]],A8,data[[#All],[وضعیت]],1)</f>
        <v>0</v>
      </c>
      <c r="F8" s="14">
        <f>SUMIFS(data[[#All],[مبلغ]],data[[#All],[ماه]],op.out[[#Headers],[تیر]],data[[#All],[نوع عامل]],A8,data[[#All],[وضعیت]],1)</f>
        <v>0</v>
      </c>
      <c r="G8" s="14">
        <f>SUMIFS(data[[#All],[مبلغ]],data[[#All],[ماه]],op.out[[#Headers],[مرداد]],data[[#All],[نوع عامل]],A8,data[[#All],[وضعیت]],1)</f>
        <v>0</v>
      </c>
      <c r="H8" s="14">
        <f>SUMIFS(data[[#All],[مبلغ]],data[[#All],[ماه]],op.out[[#Headers],[شهریور]],data[[#All],[نوع عامل]],A8,data[[#All],[وضعیت]],1)</f>
        <v>0</v>
      </c>
      <c r="I8" s="14">
        <f>SUMIFS(data[[#All],[مبلغ]],data[[#All],[ماه]],op.out[[#Headers],[مهر]],data[[#All],[نوع عامل]],A8,data[[#All],[وضعیت]],1)</f>
        <v>0</v>
      </c>
      <c r="J8" s="14">
        <f>SUMIFS(data[[#All],[مبلغ]],data[[#All],[ماه]],op.out[[#Headers],[آبان]],data[[#All],[نوع عامل]],A8,data[[#All],[وضعیت]],1)</f>
        <v>0</v>
      </c>
      <c r="K8" s="14">
        <f>SUMIFS(data[[#All],[مبلغ]],data[[#All],[ماه]],op.out[[#Headers],[آذر]],data[[#All],[نوع عامل]],A8,data[[#All],[وضعیت]],1)</f>
        <v>0</v>
      </c>
      <c r="L8" s="14">
        <f>SUMIFS(data[[#All],[مبلغ]],data[[#All],[ماه]],op.out[[#Headers],[دی]],data[[#All],[نوع عامل]],A8,data[[#All],[وضعیت]],1)</f>
        <v>0</v>
      </c>
      <c r="M8" s="14">
        <f>SUMIFS(data[[#All],[مبلغ]],data[[#All],[ماه]],op.out[[#Headers],[بهمن]],data[[#All],[نوع عامل]],A8,data[[#All],[وضعیت]],1)</f>
        <v>0</v>
      </c>
      <c r="N8" s="14">
        <f>SUMIFS(data[[#All],[مبلغ]],data[[#All],[ماه]],op.out[[#Headers],[اسفند]],data[[#All],[نوع عامل]],A8,data[[#All],[وضعیت]],1)</f>
        <v>200</v>
      </c>
      <c r="O8" s="14"/>
      <c r="P8" s="14">
        <f>SUM(incom[[#This Row],[فروردین]:[.3]])</f>
        <v>200</v>
      </c>
    </row>
    <row r="9" spans="1:16" x14ac:dyDescent="0.55000000000000004">
      <c r="A9" s="8" t="s">
        <v>47</v>
      </c>
      <c r="C9" s="14">
        <f>SUMIFS(data[[#All],[مبلغ]],data[[#All],[ماه]],$C$16,data[[#All],[نوع عامل]],A9,data[[#All],[وضعیت]],1)</f>
        <v>0</v>
      </c>
      <c r="D9" s="14">
        <f>SUMIFS(data[[#All],[مبلغ]],data[[#All],[ماه]],op.out[[#Headers],[اردیبهشت]],data[[#All],[نوع عامل]],A9,data[[#All],[وضعیت]],1)</f>
        <v>0</v>
      </c>
      <c r="E9" s="14">
        <f>SUMIFS(data[[#All],[مبلغ]],data[[#All],[ماه]],op.out[[#Headers],[خرداد]],data[[#All],[نوع عامل]],A9,data[[#All],[وضعیت]],1)</f>
        <v>0</v>
      </c>
      <c r="F9" s="14">
        <f>SUMIFS(data[[#All],[مبلغ]],data[[#All],[ماه]],op.out[[#Headers],[تیر]],data[[#All],[نوع عامل]],A9,data[[#All],[وضعیت]],1)</f>
        <v>0</v>
      </c>
      <c r="G9" s="14">
        <f>SUMIFS(data[[#All],[مبلغ]],data[[#All],[ماه]],op.out[[#Headers],[مرداد]],data[[#All],[نوع عامل]],A9,data[[#All],[وضعیت]],1)</f>
        <v>0</v>
      </c>
      <c r="H9" s="14">
        <f>SUMIFS(data[[#All],[مبلغ]],data[[#All],[ماه]],op.out[[#Headers],[شهریور]],data[[#All],[نوع عامل]],A9,data[[#All],[وضعیت]],1)</f>
        <v>0</v>
      </c>
      <c r="I9" s="14">
        <f>SUMIFS(data[[#All],[مبلغ]],data[[#All],[ماه]],op.out[[#Headers],[مهر]],data[[#All],[نوع عامل]],A9,data[[#All],[وضعیت]],1)</f>
        <v>0</v>
      </c>
      <c r="J9" s="14">
        <f>SUMIFS(data[[#All],[مبلغ]],data[[#All],[ماه]],op.out[[#Headers],[آبان]],data[[#All],[نوع عامل]],A9,data[[#All],[وضعیت]],1)</f>
        <v>0</v>
      </c>
      <c r="K9" s="14">
        <f>SUMIFS(data[[#All],[مبلغ]],data[[#All],[ماه]],op.out[[#Headers],[آذر]],data[[#All],[نوع عامل]],A9,data[[#All],[وضعیت]],1)</f>
        <v>0</v>
      </c>
      <c r="L9" s="14">
        <f>SUMIFS(data[[#All],[مبلغ]],data[[#All],[ماه]],op.out[[#Headers],[دی]],data[[#All],[نوع عامل]],A9,data[[#All],[وضعیت]],1)</f>
        <v>0</v>
      </c>
      <c r="M9" s="14">
        <f>SUMIFS(data[[#All],[مبلغ]],data[[#All],[ماه]],op.out[[#Headers],[بهمن]],data[[#All],[نوع عامل]],A9,data[[#All],[وضعیت]],1)</f>
        <v>0</v>
      </c>
      <c r="N9" s="14">
        <f>SUMIFS(data[[#All],[مبلغ]],data[[#All],[ماه]],op.out[[#Headers],[اسفند]],data[[#All],[نوع عامل]],A9,data[[#All],[وضعیت]],1)</f>
        <v>0</v>
      </c>
      <c r="O9" s="14"/>
      <c r="P9" s="14">
        <f>SUM(incom[[#This Row],[فروردین]:[.3]])</f>
        <v>0</v>
      </c>
    </row>
    <row r="10" spans="1:16" x14ac:dyDescent="0.55000000000000004">
      <c r="A10" s="8" t="s">
        <v>14</v>
      </c>
      <c r="C10" s="14">
        <f>SUMIFS(data[[#All],[مبلغ]],data[[#All],[ماه]],$C$16,data[[#All],[نوع عامل]],A10,data[[#All],[وضعیت]],1)</f>
        <v>0</v>
      </c>
      <c r="D10" s="14">
        <f>SUMIFS(data[[#All],[مبلغ]],data[[#All],[ماه]],op.out[[#Headers],[اردیبهشت]],data[[#All],[نوع عامل]],A10,data[[#All],[وضعیت]],1)</f>
        <v>0</v>
      </c>
      <c r="E10" s="14">
        <f>SUMIFS(data[[#All],[مبلغ]],data[[#All],[ماه]],op.out[[#Headers],[خرداد]],data[[#All],[نوع عامل]],A10,data[[#All],[وضعیت]],1)</f>
        <v>0</v>
      </c>
      <c r="F10" s="14">
        <f>SUMIFS(data[[#All],[مبلغ]],data[[#All],[ماه]],op.out[[#Headers],[تیر]],data[[#All],[نوع عامل]],A10,data[[#All],[وضعیت]],1)</f>
        <v>0</v>
      </c>
      <c r="G10" s="14">
        <f>SUMIFS(data[[#All],[مبلغ]],data[[#All],[ماه]],op.out[[#Headers],[مرداد]],data[[#All],[نوع عامل]],A10,data[[#All],[وضعیت]],1)</f>
        <v>0</v>
      </c>
      <c r="H10" s="14">
        <f>SUMIFS(data[[#All],[مبلغ]],data[[#All],[ماه]],op.out[[#Headers],[شهریور]],data[[#All],[نوع عامل]],A10,data[[#All],[وضعیت]],1)</f>
        <v>0</v>
      </c>
      <c r="I10" s="14">
        <f>SUMIFS(data[[#All],[مبلغ]],data[[#All],[ماه]],op.out[[#Headers],[مهر]],data[[#All],[نوع عامل]],A10,data[[#All],[وضعیت]],1)</f>
        <v>0</v>
      </c>
      <c r="J10" s="14">
        <f>SUMIFS(data[[#All],[مبلغ]],data[[#All],[ماه]],op.out[[#Headers],[آبان]],data[[#All],[نوع عامل]],A10,data[[#All],[وضعیت]],1)</f>
        <v>0</v>
      </c>
      <c r="K10" s="14">
        <f>SUMIFS(data[[#All],[مبلغ]],data[[#All],[ماه]],op.out[[#Headers],[آذر]],data[[#All],[نوع عامل]],A10,data[[#All],[وضعیت]],1)</f>
        <v>0</v>
      </c>
      <c r="L10" s="14">
        <f>SUMIFS(data[[#All],[مبلغ]],data[[#All],[ماه]],op.out[[#Headers],[دی]],data[[#All],[نوع عامل]],A10,data[[#All],[وضعیت]],1)</f>
        <v>1388</v>
      </c>
      <c r="M10" s="14">
        <f>SUMIFS(data[[#All],[مبلغ]],data[[#All],[ماه]],op.out[[#Headers],[بهمن]],data[[#All],[نوع عامل]],A10,data[[#All],[وضعیت]],1)</f>
        <v>0</v>
      </c>
      <c r="N10" s="14">
        <f>SUMIFS(data[[#All],[مبلغ]],data[[#All],[ماه]],op.out[[#Headers],[اسفند]],data[[#All],[نوع عامل]],A10,data[[#All],[وضعیت]],1)</f>
        <v>1750</v>
      </c>
      <c r="O10" s="14"/>
      <c r="P10" s="14">
        <f>SUM(incom[[#This Row],[فروردین]:[.3]])</f>
        <v>3138</v>
      </c>
    </row>
    <row r="11" spans="1:16" x14ac:dyDescent="0.55000000000000004">
      <c r="A11" s="8" t="s">
        <v>15</v>
      </c>
      <c r="C11" s="14">
        <f>SUMIFS(data[[#All],[مبلغ]],data[[#All],[ماه]],$C$16,data[[#All],[نوع عامل]],A11,data[[#All],[وضعیت]],1)</f>
        <v>0</v>
      </c>
      <c r="D11" s="14">
        <f>SUMIFS(data[[#All],[مبلغ]],data[[#All],[ماه]],op.out[[#Headers],[اردیبهشت]],data[[#All],[نوع عامل]],A11,data[[#All],[وضعیت]],1)</f>
        <v>0</v>
      </c>
      <c r="E11" s="14">
        <f>SUMIFS(data[[#All],[مبلغ]],data[[#All],[ماه]],op.out[[#Headers],[خرداد]],data[[#All],[نوع عامل]],A11,data[[#All],[وضعیت]],1)</f>
        <v>0</v>
      </c>
      <c r="F11" s="14">
        <f>SUMIFS(data[[#All],[مبلغ]],data[[#All],[ماه]],op.out[[#Headers],[تیر]],data[[#All],[نوع عامل]],A11,data[[#All],[وضعیت]],1)</f>
        <v>0</v>
      </c>
      <c r="G11" s="14">
        <f>SUMIFS(data[[#All],[مبلغ]],data[[#All],[ماه]],op.out[[#Headers],[مرداد]],data[[#All],[نوع عامل]],A11,data[[#All],[وضعیت]],1)</f>
        <v>0</v>
      </c>
      <c r="H11" s="14">
        <f>SUMIFS(data[[#All],[مبلغ]],data[[#All],[ماه]],op.out[[#Headers],[شهریور]],data[[#All],[نوع عامل]],A11,data[[#All],[وضعیت]],1)</f>
        <v>0</v>
      </c>
      <c r="I11" s="14">
        <f>SUMIFS(data[[#All],[مبلغ]],data[[#All],[ماه]],op.out[[#Headers],[مهر]],data[[#All],[نوع عامل]],A11,data[[#All],[وضعیت]],1)</f>
        <v>0</v>
      </c>
      <c r="J11" s="14">
        <f>SUMIFS(data[[#All],[مبلغ]],data[[#All],[ماه]],op.out[[#Headers],[آبان]],data[[#All],[نوع عامل]],A11,data[[#All],[وضعیت]],1)</f>
        <v>0</v>
      </c>
      <c r="K11" s="14">
        <f>SUMIFS(data[[#All],[مبلغ]],data[[#All],[ماه]],op.out[[#Headers],[آذر]],data[[#All],[نوع عامل]],A11,data[[#All],[وضعیت]],1)</f>
        <v>0</v>
      </c>
      <c r="L11" s="14">
        <f>SUMIFS(data[[#All],[مبلغ]],data[[#All],[ماه]],op.out[[#Headers],[دی]],data[[#All],[نوع عامل]],A11,data[[#All],[وضعیت]],1)</f>
        <v>0</v>
      </c>
      <c r="M11" s="14">
        <f>SUMIFS(data[[#All],[مبلغ]],data[[#All],[ماه]],op.out[[#Headers],[بهمن]],data[[#All],[نوع عامل]],A11,data[[#All],[وضعیت]],1)</f>
        <v>0</v>
      </c>
      <c r="N11" s="14">
        <f>SUMIFS(data[[#All],[مبلغ]],data[[#All],[ماه]],op.out[[#Headers],[اسفند]],data[[#All],[نوع عامل]],A11,data[[#All],[وضعیت]],1)</f>
        <v>0</v>
      </c>
      <c r="O11" s="14"/>
      <c r="P11" s="14">
        <f>SUM(incom[[#This Row],[فروردین]:[.3]])</f>
        <v>0</v>
      </c>
    </row>
    <row r="12" spans="1:16" ht="41.25" customHeight="1" x14ac:dyDescent="0.55000000000000004">
      <c r="A12" s="9" t="s">
        <v>18</v>
      </c>
      <c r="C12" s="12">
        <f>SUBTOTAL(109,incom[فروردین])</f>
        <v>0</v>
      </c>
      <c r="D12" s="12">
        <f>SUBTOTAL(109,incom[اردیبهشت])</f>
        <v>0</v>
      </c>
      <c r="E12" s="12">
        <f>SUBTOTAL(109,incom[خرداد])</f>
        <v>0</v>
      </c>
      <c r="F12" s="12">
        <f>SUBTOTAL(109,incom[تیر])</f>
        <v>0</v>
      </c>
      <c r="G12" s="12">
        <f>SUBTOTAL(109,incom[مرداد])</f>
        <v>0</v>
      </c>
      <c r="H12" s="12">
        <f>SUBTOTAL(109,incom[شهریور])</f>
        <v>0</v>
      </c>
      <c r="I12" s="12">
        <f>SUBTOTAL(109,incom[مهر])</f>
        <v>0</v>
      </c>
      <c r="J12" s="12">
        <f>SUBTOTAL(109,incom[آبان])</f>
        <v>0</v>
      </c>
      <c r="K12" s="12">
        <f>SUBTOTAL(109,incom[آذر])</f>
        <v>0</v>
      </c>
      <c r="L12" s="12">
        <f>SUBTOTAL(109,incom[دی])</f>
        <v>1489</v>
      </c>
      <c r="M12" s="12">
        <f>SUBTOTAL(109,incom[بهمن])</f>
        <v>800</v>
      </c>
      <c r="N12" s="12">
        <f>SUBTOTAL(109,incom[اسفند])</f>
        <v>1990</v>
      </c>
      <c r="O12" s="12"/>
      <c r="P12" s="12">
        <f>SUBTOTAL(109,incom[جمع کل])</f>
        <v>4279</v>
      </c>
    </row>
    <row r="13" spans="1:16" ht="41.25" customHeight="1" x14ac:dyDescent="0.6">
      <c r="A13" s="9" t="s">
        <v>16</v>
      </c>
      <c r="B13" s="4"/>
      <c r="C13" s="12">
        <f>C12+C3</f>
        <v>179000</v>
      </c>
      <c r="D13" s="12">
        <f t="shared" ref="D13:P13" si="1">D12+D3</f>
        <v>179000</v>
      </c>
      <c r="E13" s="12">
        <f t="shared" si="1"/>
        <v>179000</v>
      </c>
      <c r="F13" s="12">
        <f t="shared" si="1"/>
        <v>179000</v>
      </c>
      <c r="G13" s="12">
        <f t="shared" si="1"/>
        <v>179000</v>
      </c>
      <c r="H13" s="12">
        <f t="shared" si="1"/>
        <v>179000</v>
      </c>
      <c r="I13" s="12">
        <f t="shared" si="1"/>
        <v>179000</v>
      </c>
      <c r="J13" s="12">
        <f t="shared" si="1"/>
        <v>179000</v>
      </c>
      <c r="K13" s="12">
        <f t="shared" si="1"/>
        <v>179000</v>
      </c>
      <c r="L13" s="12">
        <f t="shared" si="1"/>
        <v>180489</v>
      </c>
      <c r="M13" s="12">
        <f t="shared" si="1"/>
        <v>180695</v>
      </c>
      <c r="N13" s="12">
        <f t="shared" si="1"/>
        <v>178205</v>
      </c>
      <c r="O13" s="12"/>
      <c r="P13" s="12">
        <f t="shared" si="1"/>
        <v>180494</v>
      </c>
    </row>
    <row r="15" spans="1:16" ht="24" x14ac:dyDescent="0.6">
      <c r="A15" s="9" t="s">
        <v>32</v>
      </c>
      <c r="B15" s="4"/>
    </row>
    <row r="16" spans="1:16" ht="32.25" customHeight="1" x14ac:dyDescent="0.55000000000000004">
      <c r="A16" s="8" t="s">
        <v>39</v>
      </c>
      <c r="B16" s="6" t="s">
        <v>37</v>
      </c>
      <c r="C16" s="14" t="s">
        <v>1</v>
      </c>
      <c r="D16" s="14" t="s">
        <v>2</v>
      </c>
      <c r="E16" s="14" t="s">
        <v>3</v>
      </c>
      <c r="F16" s="14" t="s">
        <v>4</v>
      </c>
      <c r="G16" s="14" t="s">
        <v>5</v>
      </c>
      <c r="H16" s="14" t="s">
        <v>6</v>
      </c>
      <c r="I16" s="14" t="s">
        <v>7</v>
      </c>
      <c r="J16" s="14" t="s">
        <v>8</v>
      </c>
      <c r="K16" s="14" t="s">
        <v>9</v>
      </c>
      <c r="L16" s="14" t="s">
        <v>10</v>
      </c>
      <c r="M16" s="14" t="s">
        <v>11</v>
      </c>
      <c r="N16" s="14" t="s">
        <v>12</v>
      </c>
      <c r="O16" s="14" t="s">
        <v>38</v>
      </c>
      <c r="P16" s="14" t="s">
        <v>36</v>
      </c>
    </row>
    <row r="17" spans="1:16" x14ac:dyDescent="0.55000000000000004">
      <c r="A17" s="8" t="s">
        <v>22</v>
      </c>
      <c r="B17" s="6"/>
      <c r="C17" s="14">
        <f>SUMIFS(data[[#All],[مبلغ]],data[[#All],[ماه]],$C$16,data[[#All],[نوع عامل]],A17,data[[#All],[وضعیت]],1)</f>
        <v>0</v>
      </c>
      <c r="D17" s="14">
        <f>SUMIFS(data[[#All],[مبلغ]],data[[#All],[ماه]],op.out[[#Headers],[اردیبهشت]],data[[#All],[نوع عامل]],A17,data[[#All],[وضعیت]],1)</f>
        <v>0</v>
      </c>
      <c r="E17" s="14">
        <f>SUMIFS(data[[#All],[مبلغ]],data[[#All],[ماه]],op.out[[#Headers],[خرداد]],data[[#All],[نوع عامل]],A17,data[[#All],[وضعیت]],1)</f>
        <v>0</v>
      </c>
      <c r="F17" s="14">
        <f>SUMIFS(data[[#All],[مبلغ]],data[[#All],[ماه]],op.out[[#Headers],[تیر]],data[[#All],[نوع عامل]],A17,data[[#All],[وضعیت]],1)</f>
        <v>0</v>
      </c>
      <c r="G17" s="14">
        <f>SUMIFS(data[[#All],[مبلغ]],data[[#All],[ماه]],op.out[[#Headers],[مرداد]],data[[#All],[نوع عامل]],A17,data[[#All],[وضعیت]],1)</f>
        <v>0</v>
      </c>
      <c r="H17" s="14">
        <f>SUMIFS(data[[#All],[مبلغ]],data[[#All],[ماه]],op.out[[#Headers],[شهریور]],data[[#All],[نوع عامل]],A17,data[[#All],[وضعیت]],1)</f>
        <v>0</v>
      </c>
      <c r="I17" s="14">
        <f>SUMIFS(data[[#All],[مبلغ]],data[[#All],[ماه]],op.out[[#Headers],[مهر]],data[[#All],[نوع عامل]],A17,data[[#All],[وضعیت]],1)</f>
        <v>0</v>
      </c>
      <c r="J17" s="14">
        <f>SUMIFS(data[[#All],[مبلغ]],data[[#All],[ماه]],op.out[[#Headers],[آبان]],data[[#All],[نوع عامل]],A17,data[[#All],[وضعیت]],1)</f>
        <v>0</v>
      </c>
      <c r="K17" s="14">
        <f>SUMIFS(data[[#All],[مبلغ]],data[[#All],[ماه]],op.out[[#Headers],[آذر]],data[[#All],[نوع عامل]],A17,data[[#All],[وضعیت]],1)</f>
        <v>0</v>
      </c>
      <c r="L17" s="14">
        <f>SUMIFS(data[[#All],[مبلغ]],data[[#All],[ماه]],op.out[[#Headers],[دی]],data[[#All],[نوع عامل]],A17,data[[#All],[وضعیت]],1)</f>
        <v>14</v>
      </c>
      <c r="M17" s="14">
        <f>SUMIFS(data[[#All],[مبلغ]],data[[#All],[ماه]],op.out[[#Headers],[بهمن]],data[[#All],[نوع عامل]],A17,data[[#All],[وضعیت]],1)</f>
        <v>1650</v>
      </c>
      <c r="N17" s="14">
        <f>SUMIFS(data[[#All],[مبلغ]],data[[#All],[ماه]],op.out[[#Headers],[اسفند]],data[[#All],[نوع عامل]],A17,data[[#All],[وضعیت]],1)</f>
        <v>16850</v>
      </c>
      <c r="O17" s="14"/>
      <c r="P17" s="14">
        <f>SUM(op.out[[#This Row],[فروردین]:[اسفند]])</f>
        <v>18514</v>
      </c>
    </row>
    <row r="18" spans="1:16" x14ac:dyDescent="0.55000000000000004">
      <c r="A18" s="8" t="s">
        <v>21</v>
      </c>
      <c r="B18" s="6"/>
      <c r="C18" s="14">
        <f>SUMIFS(data[[#All],[مبلغ]],data[[#All],[ماه]],$C$16,data[[#All],[نوع عامل]],A18,data[[#All],[وضعیت]],1)</f>
        <v>0</v>
      </c>
      <c r="D18" s="14">
        <f>SUMIFS(data[[#All],[مبلغ]],data[[#All],[ماه]],op.out[[#Headers],[اردیبهشت]],data[[#All],[نوع عامل]],A18,data[[#All],[وضعیت]],1)</f>
        <v>0</v>
      </c>
      <c r="E18" s="14">
        <f>SUMIFS(data[[#All],[مبلغ]],data[[#All],[ماه]],op.out[[#Headers],[خرداد]],data[[#All],[نوع عامل]],A18,data[[#All],[وضعیت]],1)</f>
        <v>0</v>
      </c>
      <c r="F18" s="14">
        <f>SUMIFS(data[[#All],[مبلغ]],data[[#All],[ماه]],op.out[[#Headers],[تیر]],data[[#All],[نوع عامل]],A18,data[[#All],[وضعیت]],1)</f>
        <v>0</v>
      </c>
      <c r="G18" s="14">
        <f>SUMIFS(data[[#All],[مبلغ]],data[[#All],[ماه]],op.out[[#Headers],[مرداد]],data[[#All],[نوع عامل]],A18,data[[#All],[وضعیت]],1)</f>
        <v>0</v>
      </c>
      <c r="H18" s="14">
        <f>SUMIFS(data[[#All],[مبلغ]],data[[#All],[ماه]],op.out[[#Headers],[شهریور]],data[[#All],[نوع عامل]],A18,data[[#All],[وضعیت]],1)</f>
        <v>0</v>
      </c>
      <c r="I18" s="14">
        <f>SUMIFS(data[[#All],[مبلغ]],data[[#All],[ماه]],op.out[[#Headers],[مهر]],data[[#All],[نوع عامل]],A18,data[[#All],[وضعیت]],1)</f>
        <v>0</v>
      </c>
      <c r="J18" s="14">
        <f>SUMIFS(data[[#All],[مبلغ]],data[[#All],[ماه]],op.out[[#Headers],[آبان]],data[[#All],[نوع عامل]],A18,data[[#All],[وضعیت]],1)</f>
        <v>0</v>
      </c>
      <c r="K18" s="14">
        <f>SUMIFS(data[[#All],[مبلغ]],data[[#All],[ماه]],op.out[[#Headers],[آذر]],data[[#All],[نوع عامل]],A18,data[[#All],[وضعیت]],1)</f>
        <v>0</v>
      </c>
      <c r="L18" s="14">
        <f>SUMIFS(data[[#All],[مبلغ]],data[[#All],[ماه]],op.out[[#Headers],[دی]],data[[#All],[نوع عامل]],A18,data[[#All],[وضعیت]],1)</f>
        <v>0</v>
      </c>
      <c r="M18" s="14">
        <f>SUMIFS(data[[#All],[مبلغ]],data[[#All],[ماه]],op.out[[#Headers],[بهمن]],data[[#All],[نوع عامل]],A18,data[[#All],[وضعیت]],1)</f>
        <v>0</v>
      </c>
      <c r="N18" s="14">
        <f>SUMIFS(data[[#All],[مبلغ]],data[[#All],[ماه]],op.out[[#Headers],[اسفند]],data[[#All],[نوع عامل]],A18,data[[#All],[وضعیت]],1)</f>
        <v>0</v>
      </c>
      <c r="O18" s="14"/>
      <c r="P18" s="14">
        <f>SUM(op.out[[#This Row],[فروردین]:[اسفند]])</f>
        <v>0</v>
      </c>
    </row>
    <row r="19" spans="1:16" x14ac:dyDescent="0.55000000000000004">
      <c r="A19" s="8" t="s">
        <v>19</v>
      </c>
      <c r="B19" s="6"/>
      <c r="C19" s="14">
        <f>SUMIFS(data[[#All],[مبلغ]],data[[#All],[ماه]],$C$16,data[[#All],[نوع عامل]],A19,data[[#All],[وضعیت]],1)</f>
        <v>0</v>
      </c>
      <c r="D19" s="14">
        <f>SUMIFS(data[[#All],[مبلغ]],data[[#All],[ماه]],op.out[[#Headers],[اردیبهشت]],data[[#All],[نوع عامل]],A19,data[[#All],[وضعیت]],1)</f>
        <v>0</v>
      </c>
      <c r="E19" s="14">
        <f>SUMIFS(data[[#All],[مبلغ]],data[[#All],[ماه]],op.out[[#Headers],[خرداد]],data[[#All],[نوع عامل]],A19,data[[#All],[وضعیت]],1)</f>
        <v>0</v>
      </c>
      <c r="F19" s="14">
        <f>SUMIFS(data[[#All],[مبلغ]],data[[#All],[ماه]],op.out[[#Headers],[تیر]],data[[#All],[نوع عامل]],A19,data[[#All],[وضعیت]],1)</f>
        <v>0</v>
      </c>
      <c r="G19" s="14">
        <f>SUMIFS(data[[#All],[مبلغ]],data[[#All],[ماه]],op.out[[#Headers],[مرداد]],data[[#All],[نوع عامل]],A19,data[[#All],[وضعیت]],1)</f>
        <v>0</v>
      </c>
      <c r="H19" s="14">
        <f>SUMIFS(data[[#All],[مبلغ]],data[[#All],[ماه]],op.out[[#Headers],[شهریور]],data[[#All],[نوع عامل]],A19,data[[#All],[وضعیت]],1)</f>
        <v>0</v>
      </c>
      <c r="I19" s="14">
        <f>SUMIFS(data[[#All],[مبلغ]],data[[#All],[ماه]],op.out[[#Headers],[مهر]],data[[#All],[نوع عامل]],A19,data[[#All],[وضعیت]],1)</f>
        <v>0</v>
      </c>
      <c r="J19" s="14">
        <f>SUMIFS(data[[#All],[مبلغ]],data[[#All],[ماه]],op.out[[#Headers],[آبان]],data[[#All],[نوع عامل]],A19,data[[#All],[وضعیت]],1)</f>
        <v>0</v>
      </c>
      <c r="K19" s="14">
        <f>SUMIFS(data[[#All],[مبلغ]],data[[#All],[ماه]],op.out[[#Headers],[آذر]],data[[#All],[نوع عامل]],A19,data[[#All],[وضعیت]],1)</f>
        <v>0</v>
      </c>
      <c r="L19" s="14">
        <f>SUMIFS(data[[#All],[مبلغ]],data[[#All],[ماه]],op.out[[#Headers],[دی]],data[[#All],[نوع عامل]],A19,data[[#All],[وضعیت]],1)</f>
        <v>0</v>
      </c>
      <c r="M19" s="14">
        <f>SUMIFS(data[[#All],[مبلغ]],data[[#All],[ماه]],op.out[[#Headers],[بهمن]],data[[#All],[نوع عامل]],A19,data[[#All],[وضعیت]],1)</f>
        <v>0</v>
      </c>
      <c r="N19" s="14">
        <f>SUMIFS(data[[#All],[مبلغ]],data[[#All],[ماه]],op.out[[#Headers],[اسفند]],data[[#All],[نوع عامل]],A19,data[[#All],[وضعیت]],1)</f>
        <v>0</v>
      </c>
      <c r="O19" s="14"/>
      <c r="P19" s="14">
        <f>SUM(op.out[[#This Row],[فروردین]:[اسفند]])</f>
        <v>0</v>
      </c>
    </row>
    <row r="20" spans="1:16" x14ac:dyDescent="0.55000000000000004">
      <c r="A20" s="8" t="s">
        <v>20</v>
      </c>
      <c r="B20" s="6"/>
      <c r="C20" s="14">
        <f>SUMIFS(data[[#All],[مبلغ]],data[[#All],[ماه]],$C$16,data[[#All],[نوع عامل]],A20,data[[#All],[وضعیت]],1)</f>
        <v>0</v>
      </c>
      <c r="D20" s="14">
        <f>SUMIFS(data[[#All],[مبلغ]],data[[#All],[ماه]],op.out[[#Headers],[اردیبهشت]],data[[#All],[نوع عامل]],A20,data[[#All],[وضعیت]],1)</f>
        <v>0</v>
      </c>
      <c r="E20" s="14">
        <f>SUMIFS(data[[#All],[مبلغ]],data[[#All],[ماه]],op.out[[#Headers],[خرداد]],data[[#All],[نوع عامل]],A20,data[[#All],[وضعیت]],1)</f>
        <v>0</v>
      </c>
      <c r="F20" s="14">
        <f>SUMIFS(data[[#All],[مبلغ]],data[[#All],[ماه]],op.out[[#Headers],[تیر]],data[[#All],[نوع عامل]],A20,data[[#All],[وضعیت]],1)</f>
        <v>0</v>
      </c>
      <c r="G20" s="14">
        <f>SUMIFS(data[[#All],[مبلغ]],data[[#All],[ماه]],op.out[[#Headers],[مرداد]],data[[#All],[نوع عامل]],A20,data[[#All],[وضعیت]],1)</f>
        <v>0</v>
      </c>
      <c r="H20" s="14">
        <f>SUMIFS(data[[#All],[مبلغ]],data[[#All],[ماه]],op.out[[#Headers],[شهریور]],data[[#All],[نوع عامل]],A20,data[[#All],[وضعیت]],1)</f>
        <v>0</v>
      </c>
      <c r="I20" s="14">
        <f>SUMIFS(data[[#All],[مبلغ]],data[[#All],[ماه]],op.out[[#Headers],[مهر]],data[[#All],[نوع عامل]],A20,data[[#All],[وضعیت]],1)</f>
        <v>0</v>
      </c>
      <c r="J20" s="14">
        <f>SUMIFS(data[[#All],[مبلغ]],data[[#All],[ماه]],op.out[[#Headers],[آبان]],data[[#All],[نوع عامل]],A20,data[[#All],[وضعیت]],1)</f>
        <v>0</v>
      </c>
      <c r="K20" s="14">
        <f>SUMIFS(data[[#All],[مبلغ]],data[[#All],[ماه]],op.out[[#Headers],[آذر]],data[[#All],[نوع عامل]],A20,data[[#All],[وضعیت]],1)</f>
        <v>0</v>
      </c>
      <c r="L20" s="14">
        <f>SUMIFS(data[[#All],[مبلغ]],data[[#All],[ماه]],op.out[[#Headers],[دی]],data[[#All],[نوع عامل]],A20,data[[#All],[وضعیت]],1)</f>
        <v>0</v>
      </c>
      <c r="M20" s="14">
        <f>SUMIFS(data[[#All],[مبلغ]],data[[#All],[ماه]],op.out[[#Headers],[بهمن]],data[[#All],[نوع عامل]],A20,data[[#All],[وضعیت]],1)</f>
        <v>0</v>
      </c>
      <c r="N20" s="14">
        <f>SUMIFS(data[[#All],[مبلغ]],data[[#All],[ماه]],op.out[[#Headers],[اسفند]],data[[#All],[نوع عامل]],A20,data[[#All],[وضعیت]],1)</f>
        <v>0</v>
      </c>
      <c r="O20" s="14"/>
      <c r="P20" s="14">
        <f>SUM(op.out[[#This Row],[فروردین]:[اسفند]])</f>
        <v>0</v>
      </c>
    </row>
    <row r="21" spans="1:16" x14ac:dyDescent="0.55000000000000004">
      <c r="A21" s="8" t="s">
        <v>45</v>
      </c>
      <c r="B21" s="6"/>
      <c r="C21" s="14">
        <f>SUMIFS(data[[#All],[مبلغ]],data[[#All],[ماه]],$C$16,data[[#All],[نوع عامل]],A21,data[[#All],[وضعیت]],1)</f>
        <v>0</v>
      </c>
      <c r="D21" s="14">
        <f>SUMIFS(data[[#All],[مبلغ]],data[[#All],[ماه]],op.out[[#Headers],[اردیبهشت]],data[[#All],[نوع عامل]],A21,data[[#All],[وضعیت]],1)</f>
        <v>0</v>
      </c>
      <c r="E21" s="14">
        <f>SUMIFS(data[[#All],[مبلغ]],data[[#All],[ماه]],op.out[[#Headers],[خرداد]],data[[#All],[نوع عامل]],A21,data[[#All],[وضعیت]],1)</f>
        <v>0</v>
      </c>
      <c r="F21" s="14">
        <f>SUMIFS(data[[#All],[مبلغ]],data[[#All],[ماه]],op.out[[#Headers],[تیر]],data[[#All],[نوع عامل]],A21,data[[#All],[وضعیت]],1)</f>
        <v>0</v>
      </c>
      <c r="G21" s="14">
        <f>SUMIFS(data[[#All],[مبلغ]],data[[#All],[ماه]],op.out[[#Headers],[مرداد]],data[[#All],[نوع عامل]],A21,data[[#All],[وضعیت]],1)</f>
        <v>0</v>
      </c>
      <c r="H21" s="14">
        <f>SUMIFS(data[[#All],[مبلغ]],data[[#All],[ماه]],op.out[[#Headers],[شهریور]],data[[#All],[نوع عامل]],A21,data[[#All],[وضعیت]],1)</f>
        <v>0</v>
      </c>
      <c r="I21" s="14">
        <f>SUMIFS(data[[#All],[مبلغ]],data[[#All],[ماه]],op.out[[#Headers],[مهر]],data[[#All],[نوع عامل]],A21,data[[#All],[وضعیت]],1)</f>
        <v>0</v>
      </c>
      <c r="J21" s="14">
        <f>SUMIFS(data[[#All],[مبلغ]],data[[#All],[ماه]],op.out[[#Headers],[آبان]],data[[#All],[نوع عامل]],A21,data[[#All],[وضعیت]],1)</f>
        <v>0</v>
      </c>
      <c r="K21" s="14">
        <f>SUMIFS(data[[#All],[مبلغ]],data[[#All],[ماه]],op.out[[#Headers],[آذر]],data[[#All],[نوع عامل]],A21,data[[#All],[وضعیت]],1)</f>
        <v>0</v>
      </c>
      <c r="L21" s="14">
        <f>SUMIFS(data[[#All],[مبلغ]],data[[#All],[ماه]],op.out[[#Headers],[دی]],data[[#All],[نوع عامل]],A21,data[[#All],[وضعیت]],1)</f>
        <v>300</v>
      </c>
      <c r="M21" s="14">
        <f>SUMIFS(data[[#All],[مبلغ]],data[[#All],[ماه]],op.out[[#Headers],[بهمن]],data[[#All],[نوع عامل]],A21,data[[#All],[وضعیت]],1)</f>
        <v>30</v>
      </c>
      <c r="N21" s="14">
        <f>SUMIFS(data[[#All],[مبلغ]],data[[#All],[ماه]],op.out[[#Headers],[اسفند]],data[[#All],[نوع عامل]],A21,data[[#All],[وضعیت]],1)</f>
        <v>300</v>
      </c>
      <c r="O21" s="14"/>
      <c r="P21" s="14">
        <f>SUM(op.out[[#This Row],[فروردین]:[اسفند]])</f>
        <v>630</v>
      </c>
    </row>
    <row r="22" spans="1:16" x14ac:dyDescent="0.55000000000000004">
      <c r="A22" s="8" t="s">
        <v>23</v>
      </c>
      <c r="B22" s="6"/>
      <c r="C22" s="14">
        <f>SUMIFS(data[[#All],[مبلغ]],data[[#All],[ماه]],$C$16,data[[#All],[نوع عامل]],A22,data[[#All],[وضعیت]],1)</f>
        <v>0</v>
      </c>
      <c r="D22" s="14">
        <f>SUMIFS(data[[#All],[مبلغ]],data[[#All],[ماه]],op.out[[#Headers],[اردیبهشت]],data[[#All],[نوع عامل]],A22,data[[#All],[وضعیت]],1)</f>
        <v>0</v>
      </c>
      <c r="E22" s="14">
        <f>SUMIFS(data[[#All],[مبلغ]],data[[#All],[ماه]],op.out[[#Headers],[خرداد]],data[[#All],[نوع عامل]],A22,data[[#All],[وضعیت]],1)</f>
        <v>0</v>
      </c>
      <c r="F22" s="14">
        <f>SUMIFS(data[[#All],[مبلغ]],data[[#All],[ماه]],op.out[[#Headers],[تیر]],data[[#All],[نوع عامل]],A22,data[[#All],[وضعیت]],1)</f>
        <v>0</v>
      </c>
      <c r="G22" s="14">
        <f>SUMIFS(data[[#All],[مبلغ]],data[[#All],[ماه]],op.out[[#Headers],[مرداد]],data[[#All],[نوع عامل]],A22,data[[#All],[وضعیت]],1)</f>
        <v>0</v>
      </c>
      <c r="H22" s="14">
        <f>SUMIFS(data[[#All],[مبلغ]],data[[#All],[ماه]],op.out[[#Headers],[شهریور]],data[[#All],[نوع عامل]],A22,data[[#All],[وضعیت]],1)</f>
        <v>0</v>
      </c>
      <c r="I22" s="14">
        <f>SUMIFS(data[[#All],[مبلغ]],data[[#All],[ماه]],op.out[[#Headers],[مهر]],data[[#All],[نوع عامل]],A22,data[[#All],[وضعیت]],1)</f>
        <v>0</v>
      </c>
      <c r="J22" s="14">
        <f>SUMIFS(data[[#All],[مبلغ]],data[[#All],[ماه]],op.out[[#Headers],[آبان]],data[[#All],[نوع عامل]],A22,data[[#All],[وضعیت]],1)</f>
        <v>0</v>
      </c>
      <c r="K22" s="14">
        <f>SUMIFS(data[[#All],[مبلغ]],data[[#All],[ماه]],op.out[[#Headers],[آذر]],data[[#All],[نوع عامل]],A22,data[[#All],[وضعیت]],1)</f>
        <v>0</v>
      </c>
      <c r="L22" s="14">
        <f>SUMIFS(data[[#All],[مبلغ]],data[[#All],[ماه]],op.out[[#Headers],[دی]],data[[#All],[نوع عامل]],A22,data[[#All],[وضعیت]],1)</f>
        <v>280</v>
      </c>
      <c r="M22" s="14">
        <f>SUMIFS(data[[#All],[مبلغ]],data[[#All],[ماه]],op.out[[#Headers],[بهمن]],data[[#All],[نوع عامل]],A22,data[[#All],[وضعیت]],1)</f>
        <v>2800</v>
      </c>
      <c r="N22" s="14">
        <f>SUMIFS(data[[#All],[مبلغ]],data[[#All],[ماه]],op.out[[#Headers],[اسفند]],data[[#All],[نوع عامل]],A22,data[[#All],[وضعیت]],1)</f>
        <v>280</v>
      </c>
      <c r="O22" s="14"/>
      <c r="P22" s="14">
        <f>SUM(op.out[[#This Row],[فروردین]:[اسفند]])</f>
        <v>3360</v>
      </c>
    </row>
    <row r="23" spans="1:16" x14ac:dyDescent="0.55000000000000004">
      <c r="A23" s="8" t="s">
        <v>24</v>
      </c>
      <c r="B23" s="6"/>
      <c r="C23" s="14">
        <f>SUMIFS(data[[#All],[مبلغ]],data[[#All],[ماه]],$C$16,data[[#All],[نوع عامل]],A23,data[[#All],[وضعیت]],1)</f>
        <v>0</v>
      </c>
      <c r="D23" s="14">
        <f>SUMIFS(data[[#All],[مبلغ]],data[[#All],[ماه]],op.out[[#Headers],[اردیبهشت]],data[[#All],[نوع عامل]],A23,data[[#All],[وضعیت]],1)</f>
        <v>0</v>
      </c>
      <c r="E23" s="14">
        <f>SUMIFS(data[[#All],[مبلغ]],data[[#All],[ماه]],op.out[[#Headers],[خرداد]],data[[#All],[نوع عامل]],A23,data[[#All],[وضعیت]],1)</f>
        <v>0</v>
      </c>
      <c r="F23" s="14">
        <f>SUMIFS(data[[#All],[مبلغ]],data[[#All],[ماه]],op.out[[#Headers],[تیر]],data[[#All],[نوع عامل]],A23,data[[#All],[وضعیت]],1)</f>
        <v>0</v>
      </c>
      <c r="G23" s="14">
        <f>SUMIFS(data[[#All],[مبلغ]],data[[#All],[ماه]],op.out[[#Headers],[مرداد]],data[[#All],[نوع عامل]],A23,data[[#All],[وضعیت]],1)</f>
        <v>0</v>
      </c>
      <c r="H23" s="14">
        <f>SUMIFS(data[[#All],[مبلغ]],data[[#All],[ماه]],op.out[[#Headers],[شهریور]],data[[#All],[نوع عامل]],A23,data[[#All],[وضعیت]],1)</f>
        <v>0</v>
      </c>
      <c r="I23" s="14">
        <f>SUMIFS(data[[#All],[مبلغ]],data[[#All],[ماه]],op.out[[#Headers],[مهر]],data[[#All],[نوع عامل]],A23,data[[#All],[وضعیت]],1)</f>
        <v>0</v>
      </c>
      <c r="J23" s="14">
        <f>SUMIFS(data[[#All],[مبلغ]],data[[#All],[ماه]],op.out[[#Headers],[آبان]],data[[#All],[نوع عامل]],A23,data[[#All],[وضعیت]],1)</f>
        <v>0</v>
      </c>
      <c r="K23" s="14">
        <f>SUMIFS(data[[#All],[مبلغ]],data[[#All],[ماه]],op.out[[#Headers],[آذر]],data[[#All],[نوع عامل]],A23,data[[#All],[وضعیت]],1)</f>
        <v>0</v>
      </c>
      <c r="L23" s="14">
        <f>SUMIFS(data[[#All],[مبلغ]],data[[#All],[ماه]],op.out[[#Headers],[دی]],data[[#All],[نوع عامل]],A23,data[[#All],[وضعیت]],1)</f>
        <v>0</v>
      </c>
      <c r="M23" s="14">
        <f>SUMIFS(data[[#All],[مبلغ]],data[[#All],[ماه]],op.out[[#Headers],[بهمن]],data[[#All],[نوع عامل]],A23,data[[#All],[وضعیت]],1)</f>
        <v>0</v>
      </c>
      <c r="N23" s="14">
        <f>SUMIFS(data[[#All],[مبلغ]],data[[#All],[ماه]],op.out[[#Headers],[اسفند]],data[[#All],[نوع عامل]],A23,data[[#All],[وضعیت]],1)</f>
        <v>0</v>
      </c>
      <c r="O23" s="14"/>
      <c r="P23" s="14">
        <f>SUM(op.out[[#This Row],[فروردین]:[اسفند]])</f>
        <v>0</v>
      </c>
    </row>
    <row r="24" spans="1:16" x14ac:dyDescent="0.55000000000000004">
      <c r="A24" s="8" t="s">
        <v>49</v>
      </c>
      <c r="B24" s="6"/>
      <c r="C24" s="14">
        <f>SUMIFS(data[[#All],[مبلغ]],data[[#All],[ماه]],$C$16,data[[#All],[نوع عامل]],A24,data[[#All],[وضعیت]],1)</f>
        <v>0</v>
      </c>
      <c r="D24" s="14">
        <f>SUMIFS(data[[#All],[مبلغ]],data[[#All],[ماه]],op.out[[#Headers],[اردیبهشت]],data[[#All],[نوع عامل]],A24,data[[#All],[وضعیت]],1)</f>
        <v>0</v>
      </c>
      <c r="E24" s="14">
        <f>SUMIFS(data[[#All],[مبلغ]],data[[#All],[ماه]],op.out[[#Headers],[خرداد]],data[[#All],[نوع عامل]],A24,data[[#All],[وضعیت]],1)</f>
        <v>0</v>
      </c>
      <c r="F24" s="14">
        <f>SUMIFS(data[[#All],[مبلغ]],data[[#All],[ماه]],op.out[[#Headers],[تیر]],data[[#All],[نوع عامل]],A24,data[[#All],[وضعیت]],1)</f>
        <v>0</v>
      </c>
      <c r="G24" s="14">
        <f>SUMIFS(data[[#All],[مبلغ]],data[[#All],[ماه]],op.out[[#Headers],[مرداد]],data[[#All],[نوع عامل]],A24,data[[#All],[وضعیت]],1)</f>
        <v>0</v>
      </c>
      <c r="H24" s="14">
        <f>SUMIFS(data[[#All],[مبلغ]],data[[#All],[ماه]],op.out[[#Headers],[شهریور]],data[[#All],[نوع عامل]],A24,data[[#All],[وضعیت]],1)</f>
        <v>0</v>
      </c>
      <c r="I24" s="14">
        <f>SUMIFS(data[[#All],[مبلغ]],data[[#All],[ماه]],op.out[[#Headers],[مهر]],data[[#All],[نوع عامل]],A24,data[[#All],[وضعیت]],1)</f>
        <v>0</v>
      </c>
      <c r="J24" s="14">
        <f>SUMIFS(data[[#All],[مبلغ]],data[[#All],[ماه]],op.out[[#Headers],[آبان]],data[[#All],[نوع عامل]],A24,data[[#All],[وضعیت]],1)</f>
        <v>0</v>
      </c>
      <c r="K24" s="14">
        <f>SUMIFS(data[[#All],[مبلغ]],data[[#All],[ماه]],op.out[[#Headers],[آذر]],data[[#All],[نوع عامل]],A24,data[[#All],[وضعیت]],1)</f>
        <v>0</v>
      </c>
      <c r="L24" s="14">
        <f>SUMIFS(data[[#All],[مبلغ]],data[[#All],[ماه]],op.out[[#Headers],[دی]],data[[#All],[نوع عامل]],A24,data[[#All],[وضعیت]],1)</f>
        <v>0</v>
      </c>
      <c r="M24" s="14">
        <f>SUMIFS(data[[#All],[مبلغ]],data[[#All],[ماه]],op.out[[#Headers],[بهمن]],data[[#All],[نوع عامل]],A24,data[[#All],[وضعیت]],1)</f>
        <v>0</v>
      </c>
      <c r="N24" s="14">
        <f>SUMIFS(data[[#All],[مبلغ]],data[[#All],[ماه]],op.out[[#Headers],[اسفند]],data[[#All],[نوع عامل]],A24,data[[#All],[وضعیت]],1)</f>
        <v>0</v>
      </c>
      <c r="O24" s="14"/>
      <c r="P24" s="14">
        <f>SUM(op.out[[#This Row],[فروردین]:[اسفند]])</f>
        <v>0</v>
      </c>
    </row>
    <row r="25" spans="1:16" x14ac:dyDescent="0.55000000000000004">
      <c r="A25" s="8" t="s">
        <v>25</v>
      </c>
      <c r="B25" s="6"/>
      <c r="C25" s="14">
        <f>SUMIFS(data[[#All],[مبلغ]],data[[#All],[ماه]],$C$16,data[[#All],[نوع عامل]],A25,data[[#All],[وضعیت]],1)</f>
        <v>0</v>
      </c>
      <c r="D25" s="14">
        <f>SUMIFS(data[[#All],[مبلغ]],data[[#All],[ماه]],op.out[[#Headers],[اردیبهشت]],data[[#All],[نوع عامل]],A25,data[[#All],[وضعیت]],1)</f>
        <v>0</v>
      </c>
      <c r="E25" s="14">
        <f>SUMIFS(data[[#All],[مبلغ]],data[[#All],[ماه]],op.out[[#Headers],[خرداد]],data[[#All],[نوع عامل]],A25,data[[#All],[وضعیت]],1)</f>
        <v>0</v>
      </c>
      <c r="F25" s="14">
        <f>SUMIFS(data[[#All],[مبلغ]],data[[#All],[ماه]],op.out[[#Headers],[تیر]],data[[#All],[نوع عامل]],A25,data[[#All],[وضعیت]],1)</f>
        <v>0</v>
      </c>
      <c r="G25" s="14">
        <f>SUMIFS(data[[#All],[مبلغ]],data[[#All],[ماه]],op.out[[#Headers],[مرداد]],data[[#All],[نوع عامل]],A25,data[[#All],[وضعیت]],1)</f>
        <v>0</v>
      </c>
      <c r="H25" s="14">
        <f>SUMIFS(data[[#All],[مبلغ]],data[[#All],[ماه]],op.out[[#Headers],[شهریور]],data[[#All],[نوع عامل]],A25,data[[#All],[وضعیت]],1)</f>
        <v>0</v>
      </c>
      <c r="I25" s="14">
        <f>SUMIFS(data[[#All],[مبلغ]],data[[#All],[ماه]],op.out[[#Headers],[مهر]],data[[#All],[نوع عامل]],A25,data[[#All],[وضعیت]],1)</f>
        <v>0</v>
      </c>
      <c r="J25" s="14">
        <f>SUMIFS(data[[#All],[مبلغ]],data[[#All],[ماه]],op.out[[#Headers],[آبان]],data[[#All],[نوع عامل]],A25,data[[#All],[وضعیت]],1)</f>
        <v>0</v>
      </c>
      <c r="K25" s="14">
        <f>SUMIFS(data[[#All],[مبلغ]],data[[#All],[ماه]],op.out[[#Headers],[آذر]],data[[#All],[نوع عامل]],A25,data[[#All],[وضعیت]],1)</f>
        <v>0</v>
      </c>
      <c r="L25" s="14">
        <f>SUMIFS(data[[#All],[مبلغ]],data[[#All],[ماه]],op.out[[#Headers],[دی]],data[[#All],[نوع عامل]],A25,data[[#All],[وضعیت]],1)</f>
        <v>0</v>
      </c>
      <c r="M25" s="14">
        <f>SUMIFS(data[[#All],[مبلغ]],data[[#All],[ماه]],op.out[[#Headers],[بهمن]],data[[#All],[نوع عامل]],A25,data[[#All],[وضعیت]],1)</f>
        <v>0</v>
      </c>
      <c r="N25" s="14">
        <f>SUMIFS(data[[#All],[مبلغ]],data[[#All],[ماه]],op.out[[#Headers],[اسفند]],data[[#All],[نوع عامل]],A25,data[[#All],[وضعیت]],1)</f>
        <v>0</v>
      </c>
      <c r="O25" s="14"/>
      <c r="P25" s="14">
        <f>SUM(op.out[[#This Row],[فروردین]:[اسفند]])</f>
        <v>0</v>
      </c>
    </row>
    <row r="26" spans="1:16" x14ac:dyDescent="0.55000000000000004">
      <c r="A26" t="s">
        <v>55</v>
      </c>
      <c r="B26" s="20"/>
      <c r="C26" s="21">
        <f>SUMIFS(data[[#All],[مبلغ]],data[[#All],[ماه]],$C$16,data[[#All],[نوع عامل]],A26,data[[#All],[وضعیت]],1)</f>
        <v>0</v>
      </c>
      <c r="D26" s="21">
        <f>SUMIFS(data[[#All],[مبلغ]],data[[#All],[ماه]],op.out[[#Headers],[اردیبهشت]],data[[#All],[نوع عامل]],A26,data[[#All],[وضعیت]],1)</f>
        <v>0</v>
      </c>
      <c r="E26" s="21">
        <f>SUMIFS(data[[#All],[مبلغ]],data[[#All],[ماه]],op.out[[#Headers],[خرداد]],data[[#All],[نوع عامل]],A26,data[[#All],[وضعیت]],1)</f>
        <v>0</v>
      </c>
      <c r="F26" s="21">
        <f>SUMIFS(data[[#All],[مبلغ]],data[[#All],[ماه]],op.out[[#Headers],[تیر]],data[[#All],[نوع عامل]],A26,data[[#All],[وضعیت]],1)</f>
        <v>0</v>
      </c>
      <c r="G26" s="21">
        <f>SUMIFS(data[[#All],[مبلغ]],data[[#All],[ماه]],op.out[[#Headers],[مرداد]],data[[#All],[نوع عامل]],A26,data[[#All],[وضعیت]],1)</f>
        <v>0</v>
      </c>
      <c r="H26" s="21">
        <f>SUMIFS(data[[#All],[مبلغ]],data[[#All],[ماه]],op.out[[#Headers],[شهریور]],data[[#All],[نوع عامل]],A26,data[[#All],[وضعیت]],1)</f>
        <v>0</v>
      </c>
      <c r="I26" s="21">
        <f>SUMIFS(data[[#All],[مبلغ]],data[[#All],[ماه]],op.out[[#Headers],[مهر]],data[[#All],[نوع عامل]],A26,data[[#All],[وضعیت]],1)</f>
        <v>0</v>
      </c>
      <c r="J26" s="21">
        <f>SUMIFS(data[[#All],[مبلغ]],data[[#All],[ماه]],op.out[[#Headers],[آبان]],data[[#All],[نوع عامل]],A26,data[[#All],[وضعیت]],1)</f>
        <v>0</v>
      </c>
      <c r="K26" s="21">
        <f>SUMIFS(data[[#All],[مبلغ]],data[[#All],[ماه]],op.out[[#Headers],[آذر]],data[[#All],[نوع عامل]],A26,data[[#All],[وضعیت]],1)</f>
        <v>0</v>
      </c>
      <c r="L26" s="21">
        <f>SUMIFS(data[[#All],[مبلغ]],data[[#All],[ماه]],op.out[[#Headers],[دی]],data[[#All],[نوع عامل]],A26,data[[#All],[وضعیت]],1)</f>
        <v>0</v>
      </c>
      <c r="M26" s="21">
        <f>SUMIFS(data[[#All],[مبلغ]],data[[#All],[ماه]],op.out[[#Headers],[بهمن]],data[[#All],[نوع عامل]],A26,data[[#All],[وضعیت]],1)</f>
        <v>0</v>
      </c>
      <c r="N26" s="21">
        <f>SUMIFS(data[[#All],[مبلغ]],data[[#All],[ماه]],op.out[[#Headers],[اسفند]],data[[#All],[نوع عامل]],A26,data[[#All],[وضعیت]],1)</f>
        <v>0</v>
      </c>
      <c r="O26" s="21"/>
      <c r="P26" s="21">
        <f>SUM(op.out[[#This Row],[فروردین]:[اسفند]])</f>
        <v>0</v>
      </c>
    </row>
    <row r="27" spans="1:16" x14ac:dyDescent="0.55000000000000004">
      <c r="A27" s="8" t="s">
        <v>26</v>
      </c>
      <c r="B27" s="6"/>
      <c r="C27" s="14">
        <f>SUMIFS(data[[#All],[مبلغ]],data[[#All],[ماه]],$C$16,data[[#All],[نوع عامل]],A27,data[[#All],[وضعیت]],1)</f>
        <v>0</v>
      </c>
      <c r="D27" s="14">
        <f>SUMIFS(data[[#All],[مبلغ]],data[[#All],[ماه]],op.out[[#Headers],[اردیبهشت]],data[[#All],[نوع عامل]],A27,data[[#All],[وضعیت]],1)</f>
        <v>0</v>
      </c>
      <c r="E27" s="14">
        <f>SUMIFS(data[[#All],[مبلغ]],data[[#All],[ماه]],op.out[[#Headers],[خرداد]],data[[#All],[نوع عامل]],A27,data[[#All],[وضعیت]],1)</f>
        <v>0</v>
      </c>
      <c r="F27" s="14">
        <f>SUMIFS(data[[#All],[مبلغ]],data[[#All],[ماه]],op.out[[#Headers],[تیر]],data[[#All],[نوع عامل]],A27,data[[#All],[وضعیت]],1)</f>
        <v>0</v>
      </c>
      <c r="G27" s="14">
        <f>SUMIFS(data[[#All],[مبلغ]],data[[#All],[ماه]],op.out[[#Headers],[مرداد]],data[[#All],[نوع عامل]],A27,data[[#All],[وضعیت]],1)</f>
        <v>0</v>
      </c>
      <c r="H27" s="14">
        <f>SUMIFS(data[[#All],[مبلغ]],data[[#All],[ماه]],op.out[[#Headers],[شهریور]],data[[#All],[نوع عامل]],A27,data[[#All],[وضعیت]],1)</f>
        <v>0</v>
      </c>
      <c r="I27" s="14">
        <f>SUMIFS(data[[#All],[مبلغ]],data[[#All],[ماه]],op.out[[#Headers],[مهر]],data[[#All],[نوع عامل]],A27,data[[#All],[وضعیت]],1)</f>
        <v>0</v>
      </c>
      <c r="J27" s="14">
        <f>SUMIFS(data[[#All],[مبلغ]],data[[#All],[ماه]],op.out[[#Headers],[آبان]],data[[#All],[نوع عامل]],A27,data[[#All],[وضعیت]],1)</f>
        <v>0</v>
      </c>
      <c r="K27" s="14">
        <f>SUMIFS(data[[#All],[مبلغ]],data[[#All],[ماه]],op.out[[#Headers],[آذر]],data[[#All],[نوع عامل]],A27,data[[#All],[وضعیت]],1)</f>
        <v>0</v>
      </c>
      <c r="L27" s="14">
        <f>SUMIFS(data[[#All],[مبلغ]],data[[#All],[ماه]],op.out[[#Headers],[دی]],data[[#All],[نوع عامل]],A27,data[[#All],[وضعیت]],1)</f>
        <v>0</v>
      </c>
      <c r="M27" s="14">
        <f>SUMIFS(data[[#All],[مبلغ]],data[[#All],[ماه]],op.out[[#Headers],[بهمن]],data[[#All],[نوع عامل]],A27,data[[#All],[وضعیت]],1)</f>
        <v>0</v>
      </c>
      <c r="N27" s="14">
        <f>SUMIFS(data[[#All],[مبلغ]],data[[#All],[ماه]],op.out[[#Headers],[اسفند]],data[[#All],[نوع عامل]],A27,data[[#All],[وضعیت]],1)</f>
        <v>0</v>
      </c>
      <c r="O27" s="14"/>
      <c r="P27" s="14">
        <f>SUM(op.out[[#This Row],[فروردین]:[اسفند]])</f>
        <v>0</v>
      </c>
    </row>
    <row r="28" spans="1:16" ht="33" customHeight="1" x14ac:dyDescent="0.55000000000000004">
      <c r="A28" s="17" t="s">
        <v>27</v>
      </c>
      <c r="B28" s="18"/>
      <c r="C28" s="19">
        <f>SUBTOTAL(109,op.out[فروردین])</f>
        <v>0</v>
      </c>
      <c r="D28" s="19">
        <f>SUBTOTAL(109,op.out[اردیبهشت])</f>
        <v>0</v>
      </c>
      <c r="E28" s="19">
        <f>SUBTOTAL(109,op.out[خرداد])</f>
        <v>0</v>
      </c>
      <c r="F28" s="19">
        <f>SUBTOTAL(109,op.out[تیر])</f>
        <v>0</v>
      </c>
      <c r="G28" s="19">
        <f>SUBTOTAL(109,op.out[مرداد])</f>
        <v>0</v>
      </c>
      <c r="H28" s="19">
        <f>SUBTOTAL(109,op.out[شهریور])</f>
        <v>0</v>
      </c>
      <c r="I28" s="19">
        <f>SUBTOTAL(109,op.out[مهر])</f>
        <v>0</v>
      </c>
      <c r="J28" s="19">
        <f>SUBTOTAL(109,op.out[آبان])</f>
        <v>0</v>
      </c>
      <c r="K28" s="19">
        <f>SUBTOTAL(109,op.out[آذر])</f>
        <v>0</v>
      </c>
      <c r="L28" s="19">
        <f>SUBTOTAL(109,op.out[دی])</f>
        <v>594</v>
      </c>
      <c r="M28" s="19">
        <f>SUBTOTAL(109,op.out[بهمن])</f>
        <v>4480</v>
      </c>
      <c r="N28" s="19">
        <f>SUBTOTAL(109,op.out[اسفند])</f>
        <v>17430</v>
      </c>
      <c r="O28" s="19"/>
      <c r="P28" s="19">
        <f>SUBTOTAL(109,op.out[جمع کل])</f>
        <v>22504</v>
      </c>
    </row>
    <row r="30" spans="1:16" ht="24" x14ac:dyDescent="0.6">
      <c r="A30" s="9" t="s">
        <v>28</v>
      </c>
      <c r="B30" s="4"/>
    </row>
    <row r="31" spans="1:16" ht="35.25" customHeight="1" x14ac:dyDescent="0.55000000000000004">
      <c r="A31" s="9" t="s">
        <v>39</v>
      </c>
      <c r="B31" s="1" t="s">
        <v>37</v>
      </c>
      <c r="C31" s="12" t="s">
        <v>1</v>
      </c>
      <c r="D31" s="12" t="s">
        <v>2</v>
      </c>
      <c r="E31" s="12" t="s">
        <v>3</v>
      </c>
      <c r="F31" s="12" t="s">
        <v>4</v>
      </c>
      <c r="G31" s="12" t="s">
        <v>5</v>
      </c>
      <c r="H31" s="12" t="s">
        <v>6</v>
      </c>
      <c r="I31" s="12" t="s">
        <v>7</v>
      </c>
      <c r="J31" s="12" t="s">
        <v>8</v>
      </c>
      <c r="K31" s="12" t="s">
        <v>9</v>
      </c>
      <c r="L31" s="12" t="s">
        <v>10</v>
      </c>
      <c r="M31" s="12" t="s">
        <v>11</v>
      </c>
      <c r="N31" s="12" t="s">
        <v>12</v>
      </c>
      <c r="O31" s="12" t="s">
        <v>38</v>
      </c>
      <c r="P31" s="12" t="s">
        <v>36</v>
      </c>
    </row>
    <row r="32" spans="1:16" x14ac:dyDescent="0.55000000000000004">
      <c r="A32" s="8" t="s">
        <v>29</v>
      </c>
      <c r="B32" s="6"/>
      <c r="C32" s="14">
        <f>SUMIFS(data[[#All],[مبلغ]],data[[#All],[ماه]],$C$16,data[[#All],[نوع عامل]],A32,data[[#All],[وضعیت]],1)</f>
        <v>0</v>
      </c>
      <c r="D32" s="14">
        <f>SUMIFS(data[[#All],[مبلغ]],data[[#All],[ماه]],op.out[[#Headers],[اردیبهشت]],data[[#All],[نوع عامل]],A32,data[[#All],[وضعیت]],1)</f>
        <v>0</v>
      </c>
      <c r="E32" s="14">
        <f>SUMIFS(data[[#All],[مبلغ]],data[[#All],[ماه]],op.out[[#Headers],[خرداد]],data[[#All],[نوع عامل]],A32,data[[#All],[وضعیت]],1)</f>
        <v>0</v>
      </c>
      <c r="F32" s="14">
        <f>SUMIFS(data[[#All],[مبلغ]],data[[#All],[ماه]],op.out[[#Headers],[تیر]],data[[#All],[نوع عامل]],A32,data[[#All],[وضعیت]],1)</f>
        <v>0</v>
      </c>
      <c r="G32" s="14">
        <f>SUMIFS(data[[#All],[مبلغ]],data[[#All],[ماه]],op.out[[#Headers],[مرداد]],data[[#All],[نوع عامل]],A32,data[[#All],[وضعیت]],1)</f>
        <v>0</v>
      </c>
      <c r="H32" s="14">
        <f>SUMIFS(data[[#All],[مبلغ]],data[[#All],[ماه]],op.out[[#Headers],[شهریور]],data[[#All],[نوع عامل]],A32,data[[#All],[وضعیت]],1)</f>
        <v>0</v>
      </c>
      <c r="I32" s="14">
        <f>SUMIFS(data[[#All],[مبلغ]],data[[#All],[ماه]],op.out[[#Headers],[مهر]],data[[#All],[نوع عامل]],A32,data[[#All],[وضعیت]],1)</f>
        <v>0</v>
      </c>
      <c r="J32" s="14">
        <f>SUMIFS(data[[#All],[مبلغ]],data[[#All],[ماه]],op.out[[#Headers],[آبان]],data[[#All],[نوع عامل]],A32,data[[#All],[وضعیت]],1)</f>
        <v>0</v>
      </c>
      <c r="K32" s="14">
        <f>SUMIFS(data[[#All],[مبلغ]],data[[#All],[ماه]],op.out[[#Headers],[آذر]],data[[#All],[نوع عامل]],A32,data[[#All],[وضعیت]],1)</f>
        <v>0</v>
      </c>
      <c r="L32" s="14">
        <f>SUMIFS(data[[#All],[مبلغ]],data[[#All],[ماه]],op.out[[#Headers],[دی]],data[[#All],[نوع عامل]],A32,data[[#All],[وضعیت]],1)</f>
        <v>0</v>
      </c>
      <c r="M32" s="14">
        <f>SUMIFS(data[[#All],[مبلغ]],data[[#All],[ماه]],op.out[[#Headers],[بهمن]],data[[#All],[نوع عامل]],A32,data[[#All],[وضعیت]],1)</f>
        <v>0</v>
      </c>
      <c r="N32" s="14">
        <f>SUMIFS(data[[#All],[مبلغ]],data[[#All],[ماه]],op.out[[#Headers],[اسفند]],data[[#All],[نوع عامل]],A32,data[[#All],[وضعیت]],1)</f>
        <v>0</v>
      </c>
      <c r="O32" s="14"/>
      <c r="P32" s="14">
        <f>SUM(cap.out[[#This Row],[فروردین]:[اسفند]])</f>
        <v>0</v>
      </c>
    </row>
    <row r="33" spans="1:16" x14ac:dyDescent="0.55000000000000004">
      <c r="A33" s="8" t="s">
        <v>30</v>
      </c>
      <c r="B33" s="6"/>
      <c r="C33" s="14">
        <f>SUMIFS(data[[#All],[مبلغ]],data[[#All],[ماه]],$C$16,data[[#All],[نوع عامل]],A33,data[[#All],[وضعیت]],1)</f>
        <v>0</v>
      </c>
      <c r="D33" s="14">
        <f>SUMIFS(data[[#All],[مبلغ]],data[[#All],[ماه]],op.out[[#Headers],[اردیبهشت]],data[[#All],[نوع عامل]],A33,data[[#All],[وضعیت]],1)</f>
        <v>0</v>
      </c>
      <c r="E33" s="14">
        <f>SUMIFS(data[[#All],[مبلغ]],data[[#All],[ماه]],op.out[[#Headers],[خرداد]],data[[#All],[نوع عامل]],A33,data[[#All],[وضعیت]],1)</f>
        <v>0</v>
      </c>
      <c r="F33" s="14">
        <f>SUMIFS(data[[#All],[مبلغ]],data[[#All],[ماه]],op.out[[#Headers],[تیر]],data[[#All],[نوع عامل]],A33,data[[#All],[وضعیت]],1)</f>
        <v>0</v>
      </c>
      <c r="G33" s="14">
        <f>SUMIFS(data[[#All],[مبلغ]],data[[#All],[ماه]],op.out[[#Headers],[مرداد]],data[[#All],[نوع عامل]],A33,data[[#All],[وضعیت]],1)</f>
        <v>0</v>
      </c>
      <c r="H33" s="14">
        <f>SUMIFS(data[[#All],[مبلغ]],data[[#All],[ماه]],op.out[[#Headers],[شهریور]],data[[#All],[نوع عامل]],A33,data[[#All],[وضعیت]],1)</f>
        <v>0</v>
      </c>
      <c r="I33" s="14">
        <f>SUMIFS(data[[#All],[مبلغ]],data[[#All],[ماه]],op.out[[#Headers],[مهر]],data[[#All],[نوع عامل]],A33,data[[#All],[وضعیت]],1)</f>
        <v>0</v>
      </c>
      <c r="J33" s="14">
        <f>SUMIFS(data[[#All],[مبلغ]],data[[#All],[ماه]],op.out[[#Headers],[آبان]],data[[#All],[نوع عامل]],A33,data[[#All],[وضعیت]],1)</f>
        <v>0</v>
      </c>
      <c r="K33" s="14">
        <f>SUMIFS(data[[#All],[مبلغ]],data[[#All],[ماه]],op.out[[#Headers],[آذر]],data[[#All],[نوع عامل]],A33,data[[#All],[وضعیت]],1)</f>
        <v>0</v>
      </c>
      <c r="L33" s="14">
        <f>SUMIFS(data[[#All],[مبلغ]],data[[#All],[ماه]],op.out[[#Headers],[دی]],data[[#All],[نوع عامل]],A33,data[[#All],[وضعیت]],1)</f>
        <v>0</v>
      </c>
      <c r="M33" s="14">
        <f>SUMIFS(data[[#All],[مبلغ]],data[[#All],[ماه]],op.out[[#Headers],[بهمن]],data[[#All],[نوع عامل]],A33,data[[#All],[وضعیت]],1)</f>
        <v>0</v>
      </c>
      <c r="N33" s="14">
        <f>SUMIFS(data[[#All],[مبلغ]],data[[#All],[ماه]],op.out[[#Headers],[اسفند]],data[[#All],[نوع عامل]],A33,data[[#All],[وضعیت]],1)</f>
        <v>0</v>
      </c>
      <c r="O33" s="14"/>
      <c r="P33" s="14">
        <f>SUM(cap.out[[#This Row],[فروردین]:[اسفند]])</f>
        <v>0</v>
      </c>
    </row>
    <row r="34" spans="1:16" x14ac:dyDescent="0.55000000000000004">
      <c r="A34" s="8" t="s">
        <v>31</v>
      </c>
      <c r="B34" s="6"/>
      <c r="C34" s="14">
        <f>SUMIFS(data[[#All],[مبلغ]],data[[#All],[ماه]],$C$16,data[[#All],[نوع عامل]],A34,data[[#All],[وضعیت]],1)</f>
        <v>0</v>
      </c>
      <c r="D34" s="14">
        <f>SUMIFS(data[[#All],[مبلغ]],data[[#All],[ماه]],op.out[[#Headers],[اردیبهشت]],data[[#All],[نوع عامل]],A34,data[[#All],[وضعیت]],1)</f>
        <v>0</v>
      </c>
      <c r="E34" s="14">
        <f>SUMIFS(data[[#All],[مبلغ]],data[[#All],[ماه]],op.out[[#Headers],[خرداد]],data[[#All],[نوع عامل]],A34,data[[#All],[وضعیت]],1)</f>
        <v>0</v>
      </c>
      <c r="F34" s="14">
        <f>SUMIFS(data[[#All],[مبلغ]],data[[#All],[ماه]],op.out[[#Headers],[تیر]],data[[#All],[نوع عامل]],A34,data[[#All],[وضعیت]],1)</f>
        <v>0</v>
      </c>
      <c r="G34" s="14">
        <f>SUMIFS(data[[#All],[مبلغ]],data[[#All],[ماه]],op.out[[#Headers],[مرداد]],data[[#All],[نوع عامل]],A34,data[[#All],[وضعیت]],1)</f>
        <v>0</v>
      </c>
      <c r="H34" s="14">
        <f>SUMIFS(data[[#All],[مبلغ]],data[[#All],[ماه]],op.out[[#Headers],[شهریور]],data[[#All],[نوع عامل]],A34,data[[#All],[وضعیت]],1)</f>
        <v>0</v>
      </c>
      <c r="I34" s="14">
        <f>SUMIFS(data[[#All],[مبلغ]],data[[#All],[ماه]],op.out[[#Headers],[مهر]],data[[#All],[نوع عامل]],A34,data[[#All],[وضعیت]],1)</f>
        <v>0</v>
      </c>
      <c r="J34" s="14">
        <f>SUMIFS(data[[#All],[مبلغ]],data[[#All],[ماه]],op.out[[#Headers],[آبان]],data[[#All],[نوع عامل]],A34,data[[#All],[وضعیت]],1)</f>
        <v>0</v>
      </c>
      <c r="K34" s="14">
        <f>SUMIFS(data[[#All],[مبلغ]],data[[#All],[ماه]],op.out[[#Headers],[آذر]],data[[#All],[نوع عامل]],A34,data[[#All],[وضعیت]],1)</f>
        <v>0</v>
      </c>
      <c r="L34" s="14">
        <f>SUMIFS(data[[#All],[مبلغ]],data[[#All],[ماه]],op.out[[#Headers],[دی]],data[[#All],[نوع عامل]],A34,data[[#All],[وضعیت]],1)</f>
        <v>0</v>
      </c>
      <c r="M34" s="14">
        <f>SUMIFS(data[[#All],[مبلغ]],data[[#All],[ماه]],op.out[[#Headers],[بهمن]],data[[#All],[نوع عامل]],A34,data[[#All],[وضعیت]],1)</f>
        <v>0</v>
      </c>
      <c r="N34" s="14">
        <f>SUMIFS(data[[#All],[مبلغ]],data[[#All],[ماه]],op.out[[#Headers],[اسفند]],data[[#All],[نوع عامل]],A34,data[[#All],[وضعیت]],1)</f>
        <v>0</v>
      </c>
      <c r="O34" s="14"/>
      <c r="P34" s="14">
        <f>SUM(cap.out[[#This Row],[فروردین]:[اسفند]])</f>
        <v>0</v>
      </c>
    </row>
    <row r="35" spans="1:16" x14ac:dyDescent="0.55000000000000004">
      <c r="A35" s="8" t="s">
        <v>34</v>
      </c>
      <c r="B35" s="6"/>
      <c r="C35" s="14">
        <f>SUMIFS(data[[#All],[مبلغ]],data[[#All],[ماه]],$C$16,data[[#All],[نوع عامل]],A35,data[[#All],[وضعیت]],1)</f>
        <v>0</v>
      </c>
      <c r="D35" s="14">
        <f>SUMIFS(data[[#All],[مبلغ]],data[[#All],[ماه]],op.out[[#Headers],[اردیبهشت]],data[[#All],[نوع عامل]],A35,data[[#All],[وضعیت]],1)</f>
        <v>0</v>
      </c>
      <c r="E35" s="14">
        <f>SUMIFS(data[[#All],[مبلغ]],data[[#All],[ماه]],op.out[[#Headers],[خرداد]],data[[#All],[نوع عامل]],A35,data[[#All],[وضعیت]],1)</f>
        <v>0</v>
      </c>
      <c r="F35" s="14">
        <f>SUMIFS(data[[#All],[مبلغ]],data[[#All],[ماه]],op.out[[#Headers],[تیر]],data[[#All],[نوع عامل]],A35,data[[#All],[وضعیت]],1)</f>
        <v>0</v>
      </c>
      <c r="G35" s="14">
        <f>SUMIFS(data[[#All],[مبلغ]],data[[#All],[ماه]],op.out[[#Headers],[مرداد]],data[[#All],[نوع عامل]],A35,data[[#All],[وضعیت]],1)</f>
        <v>0</v>
      </c>
      <c r="H35" s="14">
        <f>SUMIFS(data[[#All],[مبلغ]],data[[#All],[ماه]],op.out[[#Headers],[شهریور]],data[[#All],[نوع عامل]],A35,data[[#All],[وضعیت]],1)</f>
        <v>0</v>
      </c>
      <c r="I35" s="14">
        <f>SUMIFS(data[[#All],[مبلغ]],data[[#All],[ماه]],op.out[[#Headers],[مهر]],data[[#All],[نوع عامل]],A35,data[[#All],[وضعیت]],1)</f>
        <v>0</v>
      </c>
      <c r="J35" s="14">
        <f>SUMIFS(data[[#All],[مبلغ]],data[[#All],[ماه]],op.out[[#Headers],[آبان]],data[[#All],[نوع عامل]],A35,data[[#All],[وضعیت]],1)</f>
        <v>0</v>
      </c>
      <c r="K35" s="14">
        <f>SUMIFS(data[[#All],[مبلغ]],data[[#All],[ماه]],op.out[[#Headers],[آذر]],data[[#All],[نوع عامل]],A35,data[[#All],[وضعیت]],1)</f>
        <v>0</v>
      </c>
      <c r="L35" s="14">
        <f>SUMIFS(data[[#All],[مبلغ]],data[[#All],[ماه]],op.out[[#Headers],[دی]],data[[#All],[نوع عامل]],A35,data[[#All],[وضعیت]],1)</f>
        <v>0</v>
      </c>
      <c r="M35" s="14">
        <f>SUMIFS(data[[#All],[مبلغ]],data[[#All],[ماه]],op.out[[#Headers],[بهمن]],data[[#All],[نوع عامل]],A35,data[[#All],[وضعیت]],1)</f>
        <v>0</v>
      </c>
      <c r="N35" s="14">
        <f>SUMIFS(data[[#All],[مبلغ]],data[[#All],[ماه]],op.out[[#Headers],[اسفند]],data[[#All],[نوع عامل]],A35,data[[#All],[وضعیت]],1)</f>
        <v>0</v>
      </c>
      <c r="O35" s="14"/>
      <c r="P35" s="14">
        <f>SUM(cap.out[[#This Row],[فروردین]:[اسفند]])</f>
        <v>0</v>
      </c>
    </row>
    <row r="36" spans="1:16" ht="33" customHeight="1" x14ac:dyDescent="0.55000000000000004">
      <c r="A36" s="9" t="s">
        <v>27</v>
      </c>
      <c r="B36" s="6"/>
      <c r="C36" s="14">
        <f>SUBTOTAL(109,cap.out[فروردین])</f>
        <v>0</v>
      </c>
      <c r="D36" s="14">
        <f>SUBTOTAL(109,cap.out[اردیبهشت])</f>
        <v>0</v>
      </c>
      <c r="E36" s="14">
        <f>SUBTOTAL(109,cap.out[خرداد])</f>
        <v>0</v>
      </c>
      <c r="F36" s="14">
        <f>SUBTOTAL(109,cap.out[تیر])</f>
        <v>0</v>
      </c>
      <c r="G36" s="14">
        <f>SUBTOTAL(109,cap.out[مرداد])</f>
        <v>0</v>
      </c>
      <c r="H36" s="14">
        <f>SUBTOTAL(109,cap.out[شهریور])</f>
        <v>0</v>
      </c>
      <c r="I36" s="14">
        <f>SUBTOTAL(109,cap.out[مهر])</f>
        <v>0</v>
      </c>
      <c r="J36" s="14">
        <f>SUBTOTAL(109,cap.out[آبان])</f>
        <v>0</v>
      </c>
      <c r="K36" s="14">
        <f>SUBTOTAL(109,cap.out[آذر])</f>
        <v>0</v>
      </c>
      <c r="L36" s="14">
        <f>SUBTOTAL(109,cap.out[دی])</f>
        <v>0</v>
      </c>
      <c r="M36" s="14">
        <f>SUBTOTAL(109,cap.out[بهمن])</f>
        <v>0</v>
      </c>
      <c r="N36" s="14">
        <f>SUBTOTAL(109,cap.out[اسفند])</f>
        <v>0</v>
      </c>
      <c r="O36" s="14"/>
      <c r="P36" s="14">
        <f>SUBTOTAL(109,cap.out[جمع کل])</f>
        <v>0</v>
      </c>
    </row>
    <row r="37" spans="1:16" ht="36.75" customHeight="1" x14ac:dyDescent="0.55000000000000004">
      <c r="A37" s="10" t="s">
        <v>35</v>
      </c>
      <c r="B37" s="7"/>
      <c r="C37" s="15">
        <f t="shared" ref="C37:N37" si="2">C36+C28</f>
        <v>0</v>
      </c>
      <c r="D37" s="15">
        <f t="shared" si="2"/>
        <v>0</v>
      </c>
      <c r="E37" s="15">
        <f t="shared" si="2"/>
        <v>0</v>
      </c>
      <c r="F37" s="15">
        <f t="shared" si="2"/>
        <v>0</v>
      </c>
      <c r="G37" s="15">
        <f t="shared" si="2"/>
        <v>0</v>
      </c>
      <c r="H37" s="15">
        <f t="shared" si="2"/>
        <v>0</v>
      </c>
      <c r="I37" s="15">
        <f t="shared" si="2"/>
        <v>0</v>
      </c>
      <c r="J37" s="15">
        <f t="shared" si="2"/>
        <v>0</v>
      </c>
      <c r="K37" s="15">
        <f t="shared" si="2"/>
        <v>0</v>
      </c>
      <c r="L37" s="15">
        <f t="shared" si="2"/>
        <v>594</v>
      </c>
      <c r="M37" s="15">
        <f t="shared" si="2"/>
        <v>4480</v>
      </c>
      <c r="N37" s="15">
        <f t="shared" si="2"/>
        <v>17430</v>
      </c>
      <c r="O37" s="15"/>
      <c r="P37" s="15">
        <f>P36+P28</f>
        <v>22504</v>
      </c>
    </row>
    <row r="38" spans="1:16" ht="42.75" customHeight="1" x14ac:dyDescent="0.55000000000000004">
      <c r="A38" s="10" t="s">
        <v>40</v>
      </c>
      <c r="B38" s="7"/>
      <c r="C38" s="15">
        <f t="shared" ref="C38:N38" si="3">C13-C37</f>
        <v>179000</v>
      </c>
      <c r="D38" s="15">
        <f t="shared" si="3"/>
        <v>179000</v>
      </c>
      <c r="E38" s="15">
        <f t="shared" si="3"/>
        <v>179000</v>
      </c>
      <c r="F38" s="15">
        <f t="shared" si="3"/>
        <v>179000</v>
      </c>
      <c r="G38" s="15">
        <f t="shared" si="3"/>
        <v>179000</v>
      </c>
      <c r="H38" s="15">
        <f t="shared" si="3"/>
        <v>179000</v>
      </c>
      <c r="I38" s="15">
        <f t="shared" si="3"/>
        <v>179000</v>
      </c>
      <c r="J38" s="15">
        <f t="shared" si="3"/>
        <v>179000</v>
      </c>
      <c r="K38" s="15">
        <f t="shared" si="3"/>
        <v>179000</v>
      </c>
      <c r="L38" s="15">
        <f t="shared" si="3"/>
        <v>179895</v>
      </c>
      <c r="M38" s="15">
        <f t="shared" si="3"/>
        <v>176215</v>
      </c>
      <c r="N38" s="15">
        <f t="shared" si="3"/>
        <v>160775</v>
      </c>
      <c r="O38" s="15"/>
      <c r="P38" s="15">
        <f>P13-P3-P37</f>
        <v>-18225</v>
      </c>
    </row>
  </sheetData>
  <printOptions horizontalCentered="1" verticalCentered="1"/>
  <pageMargins left="0.25" right="0.25" top="0.75" bottom="0.75" header="0.3" footer="0.3"/>
  <pageSetup paperSize="9" scale="64" fitToHeight="0" orientation="landscape" r:id="rId1"/>
  <tableParts count="3">
    <tablePart r:id="rId2"/>
    <tablePart r:id="rId3"/>
    <tablePart r:id="rId4"/>
  </tableParts>
  <extLst>
    <ext xmlns:x14="http://schemas.microsoft.com/office/spreadsheetml/2009/9/main" uri="{05C60535-1F16-4fd2-B633-F4F36F0B64E0}">
      <x14:sparklineGroups xmlns:xm="http://schemas.microsoft.com/office/excel/2006/main">
        <x14:sparklineGroup manualMax="0" manualMin="0" displayEmptyCellsAs="gap" xr2:uid="{00000000-0003-0000-0400-000006000000}">
          <x14:colorSeries rgb="FF376092"/>
          <x14:colorNegative rgb="FFD00000"/>
          <x14:colorAxis rgb="FF000000"/>
          <x14:colorMarkers rgb="FFD00000"/>
          <x14:colorFirst rgb="FFD00000"/>
          <x14:colorLast rgb="FFD00000"/>
          <x14:colorHigh rgb="FFD00000"/>
          <x14:colorLow rgb="FFD00000"/>
          <x14:sparklines>
            <x14:sparkline>
              <xm:f>report!C36:P36</xm:f>
              <xm:sqref>Q36</xm:sqref>
            </x14:sparkline>
          </x14:sparklines>
        </x14:sparklineGroup>
        <x14:sparklineGroup manualMax="0" manualMin="0" displayEmptyCellsAs="gap" xr2:uid="{00000000-0003-0000-0400-000005000000}">
          <x14:colorSeries theme="1"/>
          <x14:colorNegative theme="9"/>
          <x14:colorAxis rgb="FF000000"/>
          <x14:colorMarkers theme="8"/>
          <x14:colorFirst theme="4"/>
          <x14:colorLast theme="5"/>
          <x14:colorHigh theme="6"/>
          <x14:colorLow theme="7"/>
          <x14:sparklines>
            <x14:sparkline>
              <xm:f>report!C3:P3</xm:f>
              <xm:sqref>Q3</xm:sqref>
            </x14:sparkline>
          </x14:sparklines>
        </x14:sparklineGroup>
        <x14:sparklineGroup manualMax="0" manualMin="0"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report!C12:P12</xm:f>
              <xm:sqref>Q12</xm:sqref>
            </x14:sparkline>
          </x14:sparklines>
        </x14:sparklineGroup>
        <x14:sparklineGroup manualMax="0" manualMin="0" displayEmptyCellsAs="gap" xr2:uid="{00000000-0003-0000-0400-000003000000}">
          <x14:colorSeries rgb="FF376092"/>
          <x14:colorNegative rgb="FFD00000"/>
          <x14:colorAxis rgb="FF000000"/>
          <x14:colorMarkers rgb="FFD00000"/>
          <x14:colorFirst rgb="FFD00000"/>
          <x14:colorLast rgb="FFD00000"/>
          <x14:colorHigh rgb="FFD00000"/>
          <x14:colorLow rgb="FFD00000"/>
          <x14:sparklines>
            <x14:sparkline>
              <xm:f>report!C13:P13</xm:f>
              <xm:sqref>Q13</xm:sqref>
            </x14:sparkline>
          </x14:sparklines>
        </x14:sparklineGroup>
        <x14:sparklineGroup manualMax="0" manualMin="0" displayEmptyCellsAs="gap" xr2:uid="{00000000-0003-0000-0400-000002000000}">
          <x14:colorSeries rgb="FF376092"/>
          <x14:colorNegative rgb="FFD00000"/>
          <x14:colorAxis rgb="FF000000"/>
          <x14:colorMarkers rgb="FFD00000"/>
          <x14:colorFirst rgb="FFD00000"/>
          <x14:colorLast rgb="FFD00000"/>
          <x14:colorHigh rgb="FFD00000"/>
          <x14:colorLow rgb="FFD00000"/>
          <x14:sparklines>
            <x14:sparkline>
              <xm:f>report!C28:P28</xm:f>
              <xm:sqref>Q28</xm:sqref>
            </x14:sparkline>
          </x14:sparklines>
        </x14:sparklineGroup>
        <x14:sparklineGroup manualMax="0" manualMin="0" displayEmptyCellsAs="gap" xr2:uid="{00000000-0003-0000-0400-000001000000}">
          <x14:colorSeries rgb="FF376092"/>
          <x14:colorNegative rgb="FFD00000"/>
          <x14:colorAxis rgb="FF000000"/>
          <x14:colorMarkers rgb="FFD00000"/>
          <x14:colorFirst rgb="FFD00000"/>
          <x14:colorLast rgb="FFD00000"/>
          <x14:colorHigh rgb="FFD00000"/>
          <x14:colorLow rgb="FFD00000"/>
          <x14:sparklines>
            <x14:sparkline>
              <xm:f>report!C38:P38</xm:f>
              <xm:sqref>Q38</xm:sqref>
            </x14:sparkline>
          </x14:sparklines>
        </x14:sparklineGroup>
        <x14:sparklineGroup manualMax="0" manualMin="0" displayEmptyCellsAs="gap" xr2:uid="{00000000-0003-0000-0400-000000000000}">
          <x14:colorSeries rgb="FF376092"/>
          <x14:colorNegative rgb="FFD00000"/>
          <x14:colorAxis rgb="FF000000"/>
          <x14:colorMarkers rgb="FFD00000"/>
          <x14:colorFirst rgb="FFD00000"/>
          <x14:colorLast rgb="FFD00000"/>
          <x14:colorHigh rgb="FFD00000"/>
          <x14:colorLow rgb="FFD00000"/>
          <x14:sparklines>
            <x14:sparkline>
              <xm:f>report!C37:P37</xm:f>
              <xm:sqref>Q37</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
  <sheetViews>
    <sheetView rightToLeft="1" workbookViewId="0">
      <selection activeCell="F2" sqref="F2"/>
    </sheetView>
  </sheetViews>
  <sheetFormatPr defaultRowHeight="15" x14ac:dyDescent="0.25"/>
  <cols>
    <col min="1" max="1" width="14.42578125" style="23" customWidth="1"/>
    <col min="2" max="2" width="11.28515625" style="24" customWidth="1"/>
    <col min="3" max="3" width="19.140625" style="23" bestFit="1" customWidth="1"/>
    <col min="4" max="4" width="24.85546875" style="23" customWidth="1"/>
    <col min="5" max="5" width="11.7109375" style="23" bestFit="1" customWidth="1"/>
    <col min="6" max="6" width="14" style="24" bestFit="1" customWidth="1"/>
  </cols>
  <sheetData>
    <row r="1" spans="1:6" ht="26.25" customHeight="1" x14ac:dyDescent="0.25">
      <c r="A1" s="3" t="s">
        <v>41</v>
      </c>
      <c r="B1" s="3" t="s">
        <v>42</v>
      </c>
      <c r="C1" s="3" t="s">
        <v>43</v>
      </c>
      <c r="D1" s="3" t="s">
        <v>44</v>
      </c>
      <c r="E1" s="3" t="s">
        <v>48</v>
      </c>
      <c r="F1" s="3" t="s">
        <v>50</v>
      </c>
    </row>
    <row r="2" spans="1:6" x14ac:dyDescent="0.25">
      <c r="A2" t="s">
        <v>10</v>
      </c>
      <c r="B2" s="2">
        <v>14</v>
      </c>
      <c r="C2" t="s">
        <v>22</v>
      </c>
      <c r="D2"/>
      <c r="E2" s="3">
        <v>1</v>
      </c>
      <c r="F2" s="2"/>
    </row>
    <row r="3" spans="1:6" x14ac:dyDescent="0.25">
      <c r="A3" t="s">
        <v>10</v>
      </c>
      <c r="B3" s="2">
        <v>300</v>
      </c>
      <c r="C3" t="s">
        <v>45</v>
      </c>
      <c r="D3"/>
      <c r="E3" s="3">
        <v>1</v>
      </c>
      <c r="F3" s="2"/>
    </row>
    <row r="4" spans="1:6" x14ac:dyDescent="0.25">
      <c r="A4" s="23" t="s">
        <v>10</v>
      </c>
      <c r="B4" s="24">
        <v>280</v>
      </c>
      <c r="C4" s="23" t="s">
        <v>23</v>
      </c>
      <c r="E4" s="25">
        <v>1</v>
      </c>
    </row>
    <row r="5" spans="1:6" x14ac:dyDescent="0.25">
      <c r="A5" s="23" t="s">
        <v>11</v>
      </c>
      <c r="B5" s="24">
        <v>1650</v>
      </c>
      <c r="C5" s="23" t="s">
        <v>22</v>
      </c>
      <c r="E5" s="25">
        <v>1</v>
      </c>
    </row>
    <row r="6" spans="1:6" x14ac:dyDescent="0.25">
      <c r="A6" s="23" t="s">
        <v>11</v>
      </c>
      <c r="B6" s="24">
        <v>30</v>
      </c>
      <c r="C6" s="23" t="s">
        <v>45</v>
      </c>
      <c r="E6" s="25">
        <v>1</v>
      </c>
    </row>
    <row r="7" spans="1:6" x14ac:dyDescent="0.25">
      <c r="A7" s="23" t="s">
        <v>11</v>
      </c>
      <c r="B7" s="24">
        <v>2800</v>
      </c>
      <c r="C7" s="23" t="s">
        <v>23</v>
      </c>
      <c r="E7" s="25">
        <v>1</v>
      </c>
    </row>
    <row r="8" spans="1:6" x14ac:dyDescent="0.25">
      <c r="A8" s="23" t="s">
        <v>12</v>
      </c>
      <c r="B8" s="24">
        <v>16500</v>
      </c>
      <c r="C8" s="23" t="s">
        <v>22</v>
      </c>
      <c r="E8" s="25">
        <v>1</v>
      </c>
    </row>
    <row r="9" spans="1:6" x14ac:dyDescent="0.25">
      <c r="A9" s="23" t="s">
        <v>12</v>
      </c>
      <c r="B9" s="24">
        <v>300</v>
      </c>
      <c r="C9" s="23" t="s">
        <v>45</v>
      </c>
      <c r="E9" s="25">
        <v>1</v>
      </c>
    </row>
    <row r="10" spans="1:6" x14ac:dyDescent="0.25">
      <c r="A10" s="23" t="s">
        <v>12</v>
      </c>
      <c r="B10" s="24">
        <v>280</v>
      </c>
      <c r="C10" s="23" t="s">
        <v>23</v>
      </c>
      <c r="E10" s="25">
        <v>1</v>
      </c>
    </row>
    <row r="11" spans="1:6" x14ac:dyDescent="0.25">
      <c r="A11" s="23" t="s">
        <v>12</v>
      </c>
      <c r="B11" s="24">
        <v>350</v>
      </c>
      <c r="C11" s="23" t="s">
        <v>22</v>
      </c>
      <c r="E11" s="25">
        <v>1</v>
      </c>
    </row>
    <row r="12" spans="1:6" x14ac:dyDescent="0.25">
      <c r="A12" s="23" t="s">
        <v>10</v>
      </c>
      <c r="B12" s="24">
        <v>600</v>
      </c>
      <c r="C12" s="23" t="s">
        <v>14</v>
      </c>
      <c r="E12" s="25">
        <v>1</v>
      </c>
    </row>
    <row r="13" spans="1:6" x14ac:dyDescent="0.25">
      <c r="A13" s="23" t="s">
        <v>11</v>
      </c>
      <c r="B13" s="24">
        <v>400</v>
      </c>
      <c r="C13" s="23" t="s">
        <v>54</v>
      </c>
      <c r="E13" s="25">
        <v>1</v>
      </c>
    </row>
    <row r="14" spans="1:6" x14ac:dyDescent="0.25">
      <c r="A14" s="23" t="s">
        <v>12</v>
      </c>
      <c r="B14" s="24">
        <v>40</v>
      </c>
      <c r="C14" s="23" t="s">
        <v>54</v>
      </c>
      <c r="E14" s="25">
        <v>1</v>
      </c>
    </row>
    <row r="15" spans="1:6" x14ac:dyDescent="0.25">
      <c r="A15" s="23" t="s">
        <v>12</v>
      </c>
      <c r="B15" s="24">
        <v>1750</v>
      </c>
      <c r="C15" s="23" t="s">
        <v>14</v>
      </c>
      <c r="E15" s="25">
        <v>1</v>
      </c>
    </row>
    <row r="16" spans="1:6" x14ac:dyDescent="0.25">
      <c r="A16" s="23" t="s">
        <v>10</v>
      </c>
      <c r="B16" s="24">
        <v>101</v>
      </c>
      <c r="C16" s="23" t="s">
        <v>54</v>
      </c>
      <c r="E16" s="25">
        <v>1</v>
      </c>
    </row>
    <row r="17" spans="1:5" x14ac:dyDescent="0.25">
      <c r="A17" s="23" t="s">
        <v>12</v>
      </c>
      <c r="B17" s="24">
        <v>200</v>
      </c>
      <c r="C17" s="23" t="s">
        <v>46</v>
      </c>
      <c r="E17" s="25">
        <v>1</v>
      </c>
    </row>
    <row r="18" spans="1:5" x14ac:dyDescent="0.25">
      <c r="A18" s="23" t="s">
        <v>10</v>
      </c>
      <c r="B18" s="24">
        <v>13</v>
      </c>
      <c r="C18" s="23" t="s">
        <v>14</v>
      </c>
      <c r="E18" s="25">
        <v>1</v>
      </c>
    </row>
    <row r="19" spans="1:5" x14ac:dyDescent="0.25">
      <c r="A19" s="23" t="s">
        <v>10</v>
      </c>
      <c r="B19" s="24">
        <v>90</v>
      </c>
      <c r="C19" s="23" t="s">
        <v>14</v>
      </c>
      <c r="E19" s="25">
        <v>1</v>
      </c>
    </row>
    <row r="20" spans="1:5" x14ac:dyDescent="0.25">
      <c r="A20" s="23" t="s">
        <v>10</v>
      </c>
      <c r="B20" s="24">
        <v>500</v>
      </c>
      <c r="C20" s="23" t="s">
        <v>14</v>
      </c>
      <c r="E20" s="25">
        <v>1</v>
      </c>
    </row>
    <row r="21" spans="1:5" x14ac:dyDescent="0.25">
      <c r="A21" s="23" t="s">
        <v>11</v>
      </c>
      <c r="B21" s="24">
        <v>400</v>
      </c>
      <c r="C21" s="23" t="s">
        <v>54</v>
      </c>
      <c r="E21" s="25">
        <v>1</v>
      </c>
    </row>
    <row r="22" spans="1:5" x14ac:dyDescent="0.25">
      <c r="A22" s="23" t="s">
        <v>10</v>
      </c>
      <c r="B22" s="24">
        <v>185</v>
      </c>
      <c r="C22" s="23" t="s">
        <v>14</v>
      </c>
      <c r="E22" s="25">
        <v>1</v>
      </c>
    </row>
  </sheetData>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report!$C$2:$N$2</xm:f>
          </x14:formula1>
          <xm:sqref>A2:A22</xm:sqref>
        </x14:dataValidation>
        <x14:dataValidation type="list" allowBlank="1" showInputMessage="1" showErrorMessage="1" xr:uid="{00000000-0002-0000-0500-000001000000}">
          <x14:formula1>
            <xm:f>report!$A$6:$A$35</xm:f>
          </x14:formula1>
          <xm:sqref>C2:C22</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0.xml>��< ? x m l   v e r s i o n = " 1 . 0 "   e n c o d i n g = " U T F - 1 6 " ? > < G e m i n i   x m l n s = " h t t p : / / g e m i n i / p i v o t c u s t o m i z a t i o n / T a b l e X M L _ a s a m t i o n " > < C u s t o m C o n t e n t > < ! [ C D A T A [ < T a b l e W i d g e t G r i d S e r i a l i z a t i o n   x m l n s : x s d = " h t t p : / / w w w . w 3 . o r g / 2 0 0 1 / X M L S c h e m a "   x m l n s : x s i = " h t t p : / / w w w . w 3 . o r g / 2 0 0 1 / X M L S c h e m a - i n s t a n c e " > < C o l u m n S u g g e s t e d T y p e   / > < C o l u m n F o r m a t   / > < C o l u m n A c c u r a c y   / > < C o l u m n C u r r e n c y S y m b o l   / > < C o l u m n P o s i t i v e P a t t e r n   / > < C o l u m n N e g a t i v e P a t t e r n   / > < C o l u m n W i d t h s > < i t e m > < k e y > < s t r i n g > 9FH'F< / s t r i n g > < / k e y > < v a l u e > < i n t > 6 6 < / i n t > < / v a l u e > < / i t e m > < i t e m > < k e y > < s t r i n g > E'G�*< / s t r i n g > < / k e y > < v a l u e > < i n t > 6 8 < / i n t > < / v a l u e > < / i t e m > < / C o l u m n W i d t h s > < C o l u m n D i s p l a y I n d e x > < i t e m > < k e y > < s t r i n g > 9FH'F< / s t r i n g > < / k e y > < v a l u e > < i n t > 0 < / i n t > < / v a l u e > < / i t e m > < i t e m > < k e y > < s t r i n g > E'G�*< / s t r i n g > < / k e y > < v a l u e > < i n t > 1 < / 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l e 3 & 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 i : t y p e = " S a n d b o x E d i t o r M e a s u r e G r i d K e y " & g t ; & l t ; T a b l e N a m e & g t ; T a b l e 3 & l t ; / T a b l e N a m e & g t ; & l t ; / K e y & g t ; & l t ; M a i n t a i n e r 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C o l u m n 1 & 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C o l u m n 1 & l t ; / K e y & g t ; & l t ; / a : K e y & g t ; & l t ; a : V a l u e   i : t y p e = " M e a s u r e G r i d N o d e V i e w S t a t e " & g t ; & l t ; L a y e d O u t & g t ; t r u e & l t ; / L a y e d O u t & g t ; & l t ; / a : V a l u e & g t ; & l t ; / a : K e y V a l u e O f D i a g r a m O b j e c t K e y a n y T y p e z b w N T n L X & g t ; & l t ; / V i e w S t a t e s & g t ; & l t ; / D i a g r a m M a n a g e r . S e r i a l i z a b l e D i a g r a m & g t ; & l t ; D i a g r a m M a n a g e r . S e r i a l i z a b l e D i a g r a m & g t ; & l t ; A d a p t e r   i : t y p e = " M e a s u r e D i a g r a m S a n d b o x A d a p t e r " & g t ; & l t ; T a b l e N a m e & g t ; a s a m t i o n & 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 i : t y p e = " S a n d b o x E d i t o r M e a s u r e G r i d K e y " & g t ; & l t ; T a b l e N a m e & g t ; a s a m t i o n & l t ; / T a b l e N a m e & g t ; & l t ; / K e y & g t ; & l t ; M a i n t a i n e r 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9FH'F& l t ; / K e y & g t ; & l t ; / D i a g r a m O b j e c t K e y & g t ; & l t ; D i a g r a m O b j e c t K e y & g t ; & l t ; K e y & g t ; C o l u m n s \ E'G�*& 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9FH'F& l t ; / K e y & g t ; & l t ; / a : K e y & g t ; & l t ; a : V a l u e   i : t y p e = " M e a s u r e G r i d N o d e V i e w S t a t e " & g t ; & l t ; L a y e d O u t & g t ; t r u e & l t ; / L a y e d O u t & g t ; & l t ; / a : V a l u e & g t ; & l t ; / a : K e y V a l u e O f D i a g r a m O b j e c t K e y a n y T y p e z b w N T n L X & g t ; & l t ; a : K e y V a l u e O f D i a g r a m O b j e c t K e y a n y T y p e z b w N T n L X & g t ; & l t ; a : K e y & g t ; & l t ; K e y & g t ; C o l u m n s \ E'G�*& l t ; / K e y & g t ; & l t ; / a : K e y & g t ; & l t ; a : V a l u e   i : t y p e = " M e a s u r e G r i d N o d e V i e w S t a t e " & g t ; & l t ; C o l u m n & g t ; 1 & l t ; / C o l u m n & g t ; & l t ; L a y e d O u t & g t ; t r u e & l t ; / L a y e d O u t & g t ; & l t ; / a : V a l u e & g t ; & l t ; / a : K e y V a l u e O f D i a g r a m O b j e c t K e y a n y T y p e z b w N T n L X & g t ; & l t ; / V i e w S t a t e s & g t ; & l t ; / D i a g r a m M a n a g e r . S e r i a l i z a b l e D i a g r a m & g t ; & l t ; D i a g r a m M a n a g e r . S e r i a l i z a b l e D i a g r a m & g t ; & l t ; A d a p t e r   i : t y p e = " M e a s u r e D i a g r a m S a n d b o x A d a p t e r " & g t ; & l t ; T a b l e N a m e & g t ; d a t a & 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 i : t y p e = " S a n d b o x E d i t o r M e a s u r e G r i d K e y " & g t ; & l t ; T a b l e N a m e & g t ; d a t a & l t ; / T a b l e N a m e & g t ; & l t ; / K e y & g t ; & l t ; M a i n t a i n e r 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 E(D:& l t ; / K e y & g t ; & l t ; / D i a g r a m O b j e c t K e y & g t ; & l t ; D i a g r a m O b j e c t K e y & g t ; & l t ; K e y & g t ; M e a s u r e s \ S u m   o f   E(D:\ T a g I n f o \ F o r m u l a & l t ; / K e y & g t ; & l t ; / D i a g r a m O b j e c t K e y & g t ; & l t ; D i a g r a m O b j e c t K e y & g t ; & l t ; K e y & g t ; M e a s u r e s \ S u m   o f   E(D:\ T a g I n f o \ V a l u e & l t ; / K e y & g t ; & l t ; / D i a g r a m O b j e c t K e y & g t ; & l t ; D i a g r a m O b j e c t K e y & g t ; & l t ; K e y & g t ; M e a s u r e s \ S u m   o f   E-BB  4/G& l t ; / K e y & g t ; & l t ; / D i a g r a m O b j e c t K e y & g t ; & l t ; D i a g r a m O b j e c t K e y & g t ; & l t ; K e y & g t ; M e a s u r e s \ S u m   o f   E-BB  4/G\ T a g I n f o \ F o r m u l a & l t ; / K e y & g t ; & l t ; / D i a g r a m O b j e c t K e y & g t ; & l t ; D i a g r a m O b j e c t K e y & g t ; & l t ; K e y & g t ; M e a s u r e s \ S u m   o f   E-BB  4/G\ T a g I n f o \ V a l u e & l t ; / K e y & g t ; & l t ; / D i a g r a m O b j e c t K e y & g t ; & l t ; D i a g r a m O b j e c t K e y & g t ; & l t ; K e y & g t ; C o l u m n s \ E'G& l t ; / K e y & g t ; & l t ; / D i a g r a m O b j e c t K e y & g t ; & l t ; D i a g r a m O b j e c t K e y & g t ; & l t ; K e y & g t ; C o l u m n s \ E(D:& l t ; / K e y & g t ; & l t ; / D i a g r a m O b j e c t K e y & g t ; & l t ; D i a g r a m O b j e c t K e y & g t ; & l t ; K e y & g t ; C o l u m n s \ FH9  9'ED& l t ; / K e y & g t ; & l t ; / D i a g r a m O b j e c t K e y & g t ; & l t ; D i a g r a m O b j e c t K e y & g t ; & l t ; K e y & g t ; C o l u m n s \ *H6�-'*& l t ; / K e y & g t ; & l t ; / D i a g r a m O b j e c t K e y & g t ; & l t ; D i a g r a m O b j e c t K e y & g t ; & l t ; K e y & g t ; C o l u m n s \ H69�*& l t ; / K e y & g t ; & l t ; / D i a g r a m O b j e c t K e y & g t ; & l t ; D i a g r a m O b j e c t K e y & g t ; & l t ; K e y & g t ; C o l u m n s \ E-BB  4/G& l t ; / K e y & g t ; & l t ; / D i a g r a m O b j e c t K e y & g t ; & l t ; D i a g r a m O b j e c t K e y & g t ; & l t ; K e y & g t ; L i n k s \ & a m p ; l t ; C o l u m n s \ S u m   o f   E(D:& a m p ; g t ; - & a m p ; l t ; M e a s u r e s \ E(D:& a m p ; g t ; & l t ; / K e y & g t ; & l t ; / D i a g r a m O b j e c t K e y & g t ; & l t ; D i a g r a m O b j e c t K e y & g t ; & l t ; K e y & g t ; L i n k s \ & a m p ; l t ; C o l u m n s \ S u m   o f   E(D:& a m p ; g t ; - & a m p ; l t ; M e a s u r e s \ E(D:& a m p ; g t ; \ C O L U M N & l t ; / K e y & g t ; & l t ; / D i a g r a m O b j e c t K e y & g t ; & l t ; D i a g r a m O b j e c t K e y & g t ; & l t ; K e y & g t ; L i n k s \ & a m p ; l t ; C o l u m n s \ S u m   o f   E(D:& a m p ; g t ; - & a m p ; l t ; M e a s u r e s \ E(D:& a m p ; g t ; \ M E A S U R E & l t ; / K e y & g t ; & l t ; / D i a g r a m O b j e c t K e y & g t ; & l t ; D i a g r a m O b j e c t K e y & g t ; & l t ; K e y & g t ; L i n k s \ & a m p ; l t ; C o l u m n s \ S u m   o f   E-BB  4/G& a m p ; g t ; - & a m p ; l t ; M e a s u r e s \ E-BB  4/G& a m p ; g t ; & l t ; / K e y & g t ; & l t ; / D i a g r a m O b j e c t K e y & g t ; & l t ; D i a g r a m O b j e c t K e y & g t ; & l t ; K e y & g t ; L i n k s \ & a m p ; l t ; C o l u m n s \ S u m   o f   E-BB  4/G& a m p ; g t ; - & a m p ; l t ; M e a s u r e s \ E-BB  4/G& a m p ; g t ; \ C O L U M N & l t ; / K e y & g t ; & l t ; / D i a g r a m O b j e c t K e y & g t ; & l t ; D i a g r a m O b j e c t K e y & g t ; & l t ; K e y & g t ; L i n k s \ & a m p ; l t ; C o l u m n s \ S u m   o f   E-BB  4/G& a m p ; g t ; - & a m p ; l t ; M e a s u r e s \ E-BB  4/G& 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 E(D:& l t ; / K e y & g t ; & l t ; / a : K e y & g t ; & l t ; a : V a l u e   i : t y p e = " M e a s u r e G r i d N o d e V i e w S t a t e " & g t ; & l t ; C o l u m n & g t ; 1 & l t ; / C o l u m n & g t ; & l t ; L a y e d O u t & g t ; t r u e & l t ; / L a y e d O u t & g t ; & l t ; W a s U I I n v i s i b l e & g t ; t r u e & l t ; / W a s U I I n v i s i b l e & g t ; & l t ; / a : V a l u e & g t ; & l t ; / a : K e y V a l u e O f D i a g r a m O b j e c t K e y a n y T y p e z b w N T n L X & g t ; & l t ; a : K e y V a l u e O f D i a g r a m O b j e c t K e y a n y T y p e z b w N T n L X & g t ; & l t ; a : K e y & g t ; & l t ; K e y & g t ; M e a s u r e s \ S u m   o f   E(D:\ T a g I n f o \ F o r m u l a & l t ; / K e y & g t ; & l t ; / a : K e y & g t ; & l t ; a : V a l u e   i : t y p e = " M e a s u r e G r i d V i e w S t a t e I D i a g r a m T a g A d d i t i o n a l I n f o " / & g t ; & l t ; / a : K e y V a l u e O f D i a g r a m O b j e c t K e y a n y T y p e z b w N T n L X & g t ; & l t ; a : K e y V a l u e O f D i a g r a m O b j e c t K e y a n y T y p e z b w N T n L X & g t ; & l t ; a : K e y & g t ; & l t ; K e y & g t ; M e a s u r e s \ S u m   o f   E(D:\ T a g I n f o \ V a l u e & l t ; / K e y & g t ; & l t ; / a : K e y & g t ; & l t ; a : V a l u e   i : t y p e = " M e a s u r e G r i d V i e w S t a t e I D i a g r a m T a g A d d i t i o n a l I n f o " / & g t ; & l t ; / a : K e y V a l u e O f D i a g r a m O b j e c t K e y a n y T y p e z b w N T n L X & g t ; & l t ; a : K e y V a l u e O f D i a g r a m O b j e c t K e y a n y T y p e z b w N T n L X & g t ; & l t ; a : K e y & g t ; & l t ; K e y & g t ; M e a s u r e s \ S u m   o f   E-BB  4/G& l t ; / K e y & g t ; & l t ; / a : K e y & g t ; & l t ; a : V a l u e   i : t y p e = " M e a s u r e G r i d N o d e V i e w S t a t e " & g t ; & l t ; C o l u m n & g t ; 5 & l t ; / C o l u m n & g t ; & l t ; L a y e d O u t & g t ; t r u e & l t ; / L a y e d O u t & g t ; & l t ; W a s U I I n v i s i b l e & g t ; t r u e & l t ; / W a s U I I n v i s i b l e & g t ; & l t ; / a : V a l u e & g t ; & l t ; / a : K e y V a l u e O f D i a g r a m O b j e c t K e y a n y T y p e z b w N T n L X & g t ; & l t ; a : K e y V a l u e O f D i a g r a m O b j e c t K e y a n y T y p e z b w N T n L X & g t ; & l t ; a : K e y & g t ; & l t ; K e y & g t ; M e a s u r e s \ S u m   o f   E-BB  4/G\ T a g I n f o \ F o r m u l a & l t ; / K e y & g t ; & l t ; / a : K e y & g t ; & l t ; a : V a l u e   i : t y p e = " M e a s u r e G r i d V i e w S t a t e I D i a g r a m T a g A d d i t i o n a l I n f o " / & g t ; & l t ; / a : K e y V a l u e O f D i a g r a m O b j e c t K e y a n y T y p e z b w N T n L X & g t ; & l t ; a : K e y V a l u e O f D i a g r a m O b j e c t K e y a n y T y p e z b w N T n L X & g t ; & l t ; a : K e y & g t ; & l t ; K e y & g t ; M e a s u r e s \ S u m   o f   E-BB  4/G\ T a g I n f o \ V a l u e & l t ; / K e y & g t ; & l t ; / a : K e y & g t ; & l t ; a : V a l u e   i : t y p e = " M e a s u r e G r i d V i e w S t a t e I D i a g r a m T a g A d d i t i o n a l I n f o " / & g t ; & l t ; / a : K e y V a l u e O f D i a g r a m O b j e c t K e y a n y T y p e z b w N T n L X & g t ; & l t ; a : K e y V a l u e O f D i a g r a m O b j e c t K e y a n y T y p e z b w N T n L X & g t ; & l t ; a : K e y & g t ; & l t ; K e y & g t ; C o l u m n s \ E'G& l t ; / K e y & g t ; & l t ; / a : K e y & g t ; & l t ; a : V a l u e   i : t y p e = " M e a s u r e G r i d N o d e V i e w S t a t e " & g t ; & l t ; L a y e d O u t & g t ; t r u e & l t ; / L a y e d O u t & g t ; & l t ; / a : V a l u e & g t ; & l t ; / a : K e y V a l u e O f D i a g r a m O b j e c t K e y a n y T y p e z b w N T n L X & g t ; & l t ; a : K e y V a l u e O f D i a g r a m O b j e c t K e y a n y T y p e z b w N T n L X & g t ; & l t ; a : K e y & g t ; & l t ; K e y & g t ; C o l u m n s \ E(D:& l t ; / K e y & g t ; & l t ; / a : K e y & g t ; & l t ; a : V a l u e   i : t y p e = " M e a s u r e G r i d N o d e V i e w S t a t e " & g t ; & l t ; C o l u m n & g t ; 1 & l t ; / C o l u m n & g t ; & l t ; L a y e d O u t & g t ; t r u e & l t ; / L a y e d O u t & g t ; & l t ; / a : V a l u e & g t ; & l t ; / a : K e y V a l u e O f D i a g r a m O b j e c t K e y a n y T y p e z b w N T n L X & g t ; & l t ; a : K e y V a l u e O f D i a g r a m O b j e c t K e y a n y T y p e z b w N T n L X & g t ; & l t ; a : K e y & g t ; & l t ; K e y & g t ; C o l u m n s \ FH9  9'ED& l t ; / K e y & g t ; & l t ; / a : K e y & g t ; & l t ; a : V a l u e   i : t y p e = " M e a s u r e G r i d N o d e V i e w S t a t e " & g t ; & l t ; C o l u m n & g t ; 2 & l t ; / C o l u m n & g t ; & l t ; L a y e d O u t & g t ; t r u e & l t ; / L a y e d O u t & g t ; & l t ; / a : V a l u e & g t ; & l t ; / a : K e y V a l u e O f D i a g r a m O b j e c t K e y a n y T y p e z b w N T n L X & g t ; & l t ; a : K e y V a l u e O f D i a g r a m O b j e c t K e y a n y T y p e z b w N T n L X & g t ; & l t ; a : K e y & g t ; & l t ; K e y & g t ; C o l u m n s \ *H6�-'*& l t ; / K e y & g t ; & l t ; / a : K e y & g t ; & l t ; a : V a l u e   i : t y p e = " M e a s u r e G r i d N o d e V i e w S t a t e " & g t ; & l t ; C o l u m n & g t ; 3 & l t ; / C o l u m n & g t ; & l t ; L a y e d O u t & g t ; t r u e & l t ; / L a y e d O u t & g t ; & l t ; / a : V a l u e & g t ; & l t ; / a : K e y V a l u e O f D i a g r a m O b j e c t K e y a n y T y p e z b w N T n L X & g t ; & l t ; a : K e y V a l u e O f D i a g r a m O b j e c t K e y a n y T y p e z b w N T n L X & g t ; & l t ; a : K e y & g t ; & l t ; K e y & g t ; C o l u m n s \ H69�*& l t ; / K e y & g t ; & l t ; / a : K e y & g t ; & l t ; a : V a l u e   i : t y p e = " M e a s u r e G r i d N o d e V i e w S t a t e " & g t ; & l t ; C o l u m n & g t ; 4 & l t ; / C o l u m n & g t ; & l t ; L a y e d O u t & g t ; t r u e & l t ; / L a y e d O u t & g t ; & l t ; / a : V a l u e & g t ; & l t ; / a : K e y V a l u e O f D i a g r a m O b j e c t K e y a n y T y p e z b w N T n L X & g t ; & l t ; a : K e y V a l u e O f D i a g r a m O b j e c t K e y a n y T y p e z b w N T n L X & g t ; & l t ; a : K e y & g t ; & l t ; K e y & g t ; C o l u m n s \ E-BB  4/G& l t ; / K e y & g t ; & l t ; / a : K e y & g t ; & l t ; a : V a l u e   i : t y p e = " M e a s u r e G r i d N o d e V i e w S t a t e " & g t ; & l t ; C o l u m n & g t ; 5 & l t ; / C o l u m n & g t ; & l t ; L a y e d O u t & g t ; t r u e & l t ; / L a y e d O u t & g t ; & l t ; / a : V a l u e & g t ; & l t ; / a : K e y V a l u e O f D i a g r a m O b j e c t K e y a n y T y p e z b w N T n L X & g t ; & l t ; a : K e y V a l u e O f D i a g r a m O b j e c t K e y a n y T y p e z b w N T n L X & g t ; & l t ; a : K e y & g t ; & l t ; K e y & g t ; L i n k s \ & a m p ; l t ; C o l u m n s \ S u m   o f   E(D:& a m p ; g t ; - & a m p ; l t ; M e a s u r e s \ E(D:& a m p ; g t ; & l t ; / K e y & g t ; & l t ; / a : K e y & g t ; & l t ; a : V a l u e   i : t y p e = " M e a s u r e G r i d V i e w S t a t e I D i a g r a m L i n k " / & g t ; & l t ; / a : K e y V a l u e O f D i a g r a m O b j e c t K e y a n y T y p e z b w N T n L X & g t ; & l t ; a : K e y V a l u e O f D i a g r a m O b j e c t K e y a n y T y p e z b w N T n L X & g t ; & l t ; a : K e y & g t ; & l t ; K e y & g t ; L i n k s \ & a m p ; l t ; C o l u m n s \ S u m   o f   E(D:& a m p ; g t ; - & a m p ; l t ; M e a s u r e s \ E(D:& a m p ; g t ; \ C O L U M N & l t ; / K e y & g t ; & l t ; / a : K e y & g t ; & l t ; a : V a l u e   i : t y p e = " M e a s u r e G r i d V i e w S t a t e I D i a g r a m L i n k E n d p o i n t " / & g t ; & l t ; / a : K e y V a l u e O f D i a g r a m O b j e c t K e y a n y T y p e z b w N T n L X & g t ; & l t ; a : K e y V a l u e O f D i a g r a m O b j e c t K e y a n y T y p e z b w N T n L X & g t ; & l t ; a : K e y & g t ; & l t ; K e y & g t ; L i n k s \ & a m p ; l t ; C o l u m n s \ S u m   o f   E(D:& a m p ; g t ; - & a m p ; l t ; M e a s u r e s \ E(D:& a m p ; g t ; \ M E A S U R E & l t ; / K e y & g t ; & l t ; / a : K e y & g t ; & l t ; a : V a l u e   i : t y p e = " M e a s u r e G r i d V i e w S t a t e I D i a g r a m L i n k E n d p o i n t " / & g t ; & l t ; / a : K e y V a l u e O f D i a g r a m O b j e c t K e y a n y T y p e z b w N T n L X & g t ; & l t ; a : K e y V a l u e O f D i a g r a m O b j e c t K e y a n y T y p e z b w N T n L X & g t ; & l t ; a : K e y & g t ; & l t ; K e y & g t ; L i n k s \ & a m p ; l t ; C o l u m n s \ S u m   o f   E-BB  4/G& a m p ; g t ; - & a m p ; l t ; M e a s u r e s \ E-BB  4/G& a m p ; g t ; & l t ; / K e y & g t ; & l t ; / a : K e y & g t ; & l t ; a : V a l u e   i : t y p e = " M e a s u r e G r i d V i e w S t a t e I D i a g r a m L i n k " / & g t ; & l t ; / a : K e y V a l u e O f D i a g r a m O b j e c t K e y a n y T y p e z b w N T n L X & g t ; & l t ; a : K e y V a l u e O f D i a g r a m O b j e c t K e y a n y T y p e z b w N T n L X & g t ; & l t ; a : K e y & g t ; & l t ; K e y & g t ; L i n k s \ & a m p ; l t ; C o l u m n s \ S u m   o f   E-BB  4/G& a m p ; g t ; - & a m p ; l t ; M e a s u r e s \ E-BB  4/G& a m p ; g t ; \ C O L U M N & l t ; / K e y & g t ; & l t ; / a : K e y & g t ; & l t ; a : V a l u e   i : t y p e = " M e a s u r e G r i d V i e w S t a t e I D i a g r a m L i n k E n d p o i n t " / & g t ; & l t ; / a : K e y V a l u e O f D i a g r a m O b j e c t K e y a n y T y p e z b w N T n L X & g t ; & l t ; a : K e y V a l u e O f D i a g r a m O b j e c t K e y a n y T y p e z b w N T n L X & g t ; & l t ; a : K e y & g t ; & l t ; K e y & g t ; L i n k s \ & a m p ; l t ; C o l u m n s \ S u m   o f   E-BB  4/G& a m p ; g t ; - & a m p ; l t ; M e a s u r e s \ E-BB  4/G& a m p ; g t ; \ M E A S U R E & l t ; / K e y & g t ; & l t ; / a : K e y & g t ; & l t ; a : V a l u e   i : t y p e = " M e a s u r e G r i d V i e w S t a t e I D i a g r a m L i n k E n d p o i n t " / & g t ; & l t ; / a : K e y V a l u e O f D i a g r a m O b j e c t K e y a n y T y p e z b w N T n L X & g t ; & l t ; / V i e w S t a t e s & g t ; & l t ; / D i a g r a m M a n a g e r . S e r i a l i z a b l e D i a g r a m & g t ; & l t ; / A r r a y O f D i a g r a m M a n a g e r . S e r i a l i z a b l e D i a g r a m & g t ; < / 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d a t a & l t ; / K e y & g t ; & l t ; V a l u e   x m l n s : a = " h t t p : / / s c h e m a s . d a t a c o n t r a c t . o r g / 2 0 0 4 / 0 7 / M i c r o s o f t . A n a l y s i s S e r v i c e s . C o m m o n " & g t ; & l t ; a : H a s F o c u s & g t ; t r u e & l t ; / a : H a s F o c u s & g t ; & l t ; a : S i z e A t D p i 9 6 & g t ; 1 1 7 & l t ; / a : S i z e A t D p i 9 6 & g t ; & l t ; a : V i s i b l e & g t ; t r u e & l t ; / a : V i s i b l e & g t ; & l t ; / V a l u e & g t ; & l t ; / K e y V a l u e O f s t r i n g S a n d b o x E d i t o r . M e a s u r e G r i d S t a t e S c d E 3 5 R y & g t ; & l t ; K e y V a l u e O f s t r i n g S a n d b o x E d i t o r . M e a s u r e G r i d S t a t e S c d E 3 5 R y & g t ; & l t ; K e y & g t ; a s a m t i o n & l t ; / K e y & g t ; & l t ; V a l u e   x m l n s : a = " h t t p : / / s c h e m a s . d a t a c o n t r a c t . o r g / 2 0 0 4 / 0 7 / M i c r o s o f t . A n a l y s i s S e r v i c e s . C o m m o n " & g t ; & l t ; a : H a s F o c u s & g t ; t r u e & l t ; / a : H a s F o c u s & g t ; & l t ; a : S i z e A t D p i 9 6 & g t ; 1 1 3 & l t ; / a : S i z e A t D p i 9 6 & g t ; & l t ; a : V i s i b l e & g t ; t r u e & l t ; / a : V i s i b l e & g t ; & l t ; / V a l u e & g t ; & l t ; / K e y V a l u e O f s t r i n g S a n d b o x E d i t o r . M e a s u r e G r i d S t a t e S c d E 3 5 R y & g t ; & l t ; / A r r a y O f K e y V a l u e O f s t r i n g S a n d b o x E d i t o r . M e a s u r e G r i d S t a t e S c d E 3 5 R y & g t ; < / 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T a b l e O r d e r " > < C u s t o m C o n t e n t > d a t a , a s a m t i o n < / C u s t o m C o n t e n t > < / G e m i n i > 
</file>

<file path=customXml/item16.xml>��< ? x m l   v e r s i o n = " 1 . 0 "   e n c o d i n g = " U T F - 1 6 " ? > < G e m i n i   x m l n s = " h t t p : / / g e m i n i / p i v o t c u s t o m i z a t i o n / M a n u a l C a l c M o d e " > < C u s t o m C o n t e n t > < ! [ C D A T A [ F a l s e ] ] > < / C u s t o m C o n t e n t > < / G e m i n i > 
</file>

<file path=customXml/item17.xml>��< ? x m l   v e r s i o n = " 1 . 0 "   e n c o d i n g = " U T F - 1 6 " ? > < G e m i n i   x m l n s = " h t t p : / / g e m i n i / p i v o t c u s t o m i z a t i o n / S a n d b o x N o n E m p t y " > < C u s t o m C o n t e n t > < ! [ C D A T A [ 1 ] ] > < / C u s t o m C o n t e n t > < / G e m i n i > 
</file>

<file path=customXml/item18.xml>��< ? x m l   v e r s i o n = " 1 . 0 "   e n c o d i n g = " U T F - 1 6 " ? > < G e m i n i   x m l n s = " h t t p : / / g e m i n i / p i v o t c u s t o m i z a t i o n / C l i e n t W i n d o w X M L " > < C u s t o m C o n t e n t > d a t a < / C u s t o m C o n t e n t > < / G e m i n i > 
</file>

<file path=customXml/item19.xml>��< ? x m l   v e r s i o n = " 1 . 0 "   e n c o d i n g = " U T F - 1 6 " ? > < G e m i n i   x m l n s = " h t t p : / / g e m i n i / p i v o t c u s t o m i z a t i o n / T a b l e C o u n t I n S a n d b o x " > < C u s t o m C o n t e n t > 2 < / C u s t o m C o n t e n t > < / G e m i n i > 
</file>

<file path=customXml/item2.xml>��< ? x m l   v e r s i o n = " 1 . 0 "   e n c o d i n g = " U T F - 1 6 " ? > < G e m i n i   x m l n s = " h t t p : / / g e m i n i / p i v o t c u s t o m i z a t i o n / L i n k e d T a b l e U p d a t e M o d e " > < C u s t o m C o n t e n t > < ! [ C D A T A [ T r u e ] ] > < / C u s t o m C o n t e n t > < / G e m i n i > 
</file>

<file path=customXml/item3.xml>��< ? x m l   v e r s i o n = " 1 . 0 "   e n c o d i n g = " U T F - 1 6 " ? > < G e m i n i   x m l n s = " h t t p : / / g e m i n i / p i v o t c u s t o m i z a t i o n / S h o w H i d d e n " > < C u s t o m C o n t e n t > < ! [ C D A T A [ T r u e ] ] > < / C u s t o m C o n t e n t > < / G e m i n i > 
</file>

<file path=customXml/item4.xml>��< ? x m l   v e r s i o n = " 1 . 0 "   e n c o d i n g = " U T F - 1 6 " ? > < G e m i n i   x m l n s = " h t t p : / / g e m i n i / p i v o t c u s t o m i z a t i o n / I s S a n d b o x E m b e d d e d " > < C u s t o m C o n t e n t > < ! [ C D A T A [ y e s ] ] > < / C u s t o m C o n t e n t > < / G e m i n i > 
</file>

<file path=customXml/item5.xml>��< ? x m l   v e r s i o n = " 1 . 0 "   e n c o d i n g = " U T F - 1 6 " ? > < G e m i n i   x m l n s = " h t t p : / / g e m i n i / p i v o t c u s t o m i z a t i o n / T a b l e X M L _ d a t a " > < C u s t o m C o n t e n t > & l t ; T a b l e W i d g e t G r i d S e r i a l i z a t i o n   x m l n s : x s d = " h t t p : / / w w w . w 3 . o r g / 2 0 0 1 / X M L S c h e m a "   x m l n s : x s i = " h t t p : / / w w w . w 3 . o r g / 2 0 0 1 / X M L S c h e m a - i n s t a n c e " & g t ; & l t ; C o l u m n S u g g e s t e d T y p e   / & g t ; & l t ; C o l u m n F o r m a t   / & g t ; & l t ; C o l u m n A c c u r a c y   / & g t ; & l t ; C o l u m n C u r r e n c y S y m b o l   / & g t ; & l t ; C o l u m n P o s i t i v e P a t t e r n   / & g t ; & l t ; C o l u m n N e g a t i v e P a t t e r n   / & g t ; & l t ; C o l u m n W i d t h s & g t ; & l t ; i t e m & g t ; & l t ; k e y & g t ; & l t ; s t r i n g & g t ; E'G& l t ; / s t r i n g & g t ; & l t ; / k e y & g t ; & l t ; v a l u e & g t ; & l t ; i n t & g t ; 5 1 & l t ; / i n t & g t ; & l t ; / v a l u e & g t ; & l t ; / i t e m & g t ; & l t ; i t e m & g t ; & l t ; k e y & g t ; & l t ; s t r i n g & g t ; E(D:& l t ; / s t r i n g & g t ; & l t ; / k e y & g t ; & l t ; v a l u e & g t ; & l t ; i n t & g t ; 5 6 & l t ; / i n t & g t ; & l t ; / v a l u e & g t ; & l t ; / i t e m & g t ; & l t ; i t e m & g t ; & l t ; k e y & g t ; & l t ; s t r i n g & g t ; FH9  9'ED& l t ; / s t r i n g & g t ; & l t ; / k e y & g t ; & l t ; v a l u e & g t ; & l t ; i n t & g t ; 1 4 9 & l t ; / i n t & g t ; & l t ; / v a l u e & g t ; & l t ; / i t e m & g t ; & l t ; i t e m & g t ; & l t ; k e y & g t ; & l t ; s t r i n g & g t ; *H6�-'*& l t ; / s t r i n g & g t ; & l t ; / k e y & g t ; & l t ; v a l u e & g t ; & l t ; i n t & g t ; 8 6 & l t ; / i n t & g t ; & l t ; / v a l u e & g t ; & l t ; / i t e m & g t ; & l t ; i t e m & g t ; & l t ; k e y & g t ; & l t ; s t r i n g & g t ; H69�*& l t ; / s t r i n g & g t ; & l t ; / k e y & g t ; & l t ; v a l u e & g t ; & l t ; i n t & g t ; 7 6 & l t ; / i n t & g t ; & l t ; / v a l u e & g t ; & l t ; / i t e m & g t ; & l t ; i t e m & g t ; & l t ; k e y & g t ; & l t ; s t r i n g & g t ; E-BB  4/G& l t ; / s t r i n g & g t ; & l t ; / k e y & g t ; & l t ; v a l u e & g t ; & l t ; i n t & g t ; 8 6 & l t ; / i n t & g t ; & l t ; / v a l u e & g t ; & l t ; / i t e m & g t ; & l t ; / C o l u m n W i d t h s & g t ; & l t ; C o l u m n D i s p l a y I n d e x & g t ; & l t ; i t e m & g t ; & l t ; k e y & g t ; & l t ; s t r i n g & g t ; E'G& l t ; / s t r i n g & g t ; & l t ; / k e y & g t ; & l t ; v a l u e & g t ; & l t ; i n t & g t ; 0 & l t ; / i n t & g t ; & l t ; / v a l u e & g t ; & l t ; / i t e m & g t ; & l t ; i t e m & g t ; & l t ; k e y & g t ; & l t ; s t r i n g & g t ; E(D:& l t ; / s t r i n g & g t ; & l t ; / k e y & g t ; & l t ; v a l u e & g t ; & l t ; i n t & g t ; 1 & l t ; / i n t & g t ; & l t ; / v a l u e & g t ; & l t ; / i t e m & g t ; & l t ; i t e m & g t ; & l t ; k e y & g t ; & l t ; s t r i n g & g t ; FH9  9'ED& l t ; / s t r i n g & g t ; & l t ; / k e y & g t ; & l t ; v a l u e & g t ; & l t ; i n t & g t ; 2 & l t ; / i n t & g t ; & l t ; / v a l u e & g t ; & l t ; / i t e m & g t ; & l t ; i t e m & g t ; & l t ; k e y & g t ; & l t ; s t r i n g & g t ; *H6�-'*& l t ; / s t r i n g & g t ; & l t ; / k e y & g t ; & l t ; v a l u e & g t ; & l t ; i n t & g t ; 3 & l t ; / i n t & g t ; & l t ; / v a l u e & g t ; & l t ; / i t e m & g t ; & l t ; i t e m & g t ; & l t ; k e y & g t ; & l t ; s t r i n g & g t ; H69�*& l t ; / s t r i n g & g t ; & l t ; / k e y & g t ; & l t ; v a l u e & g t ; & l t ; i n t & g t ; 4 & l t ; / i n t & g t ; & l t ; / v a l u e & g t ; & l t ; / i t e m & g t ; & l t ; i t e m & g t ; & l t ; k e y & g t ; & l t ; s t r i n g & g t ; E-BB  4/G& l t ; / s t r i n g & g t ; & l t ; / k e y & g t ; & l t ; v a l u e & g t ; & l t ; i n t & g t ; 5 & l t ; / i n t & g t ; & l t ; / v a l u e & g t ; & l t ; / i t e m & g t ; & l t ; / C o l u m n D i s p l a y I n d e x & g t ; & l t ; C o l u m n F r o z e n   / & g t ; & l t ; C o l u m n C h e c k e d   / & g t ; & l t ; C o l u m n F i l t e r   / & g t ; & l t ; S e l e c t i o n F i l t e r   / & g t ; & l t ; F i l t e r P a r a m e t e r s   / & g t ; & l t ; I s S o r t D e s c e n d i n g & g t ; f a l s e & l t ; / I s S o r t D e s c e n d i n g & g t ; & l t ; / T a b l e W i d g e t G r i d S e r i a l i z a t i o n & g t ; < / 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 2 0 1 6 - 0 7 - 0 6 T 1 1 : 1 2 : 4 9 . 6 9 0 2 6 6 7 + 0 4 : 3 0 < / L a s t P r o c e s s e d T i m e > < / D a t a M o d e l i n g S a n d b o x . S e r i a l i z e d S a n d b o x E r r o r C a c h e > ] ] > < / C u s t o m C o n t e n t > < / G e m i n i > 
</file>

<file path=customXml/item7.xml>��< ? x m l   v e r s i o n = " 1 . 0 "   e n c o d i n g = " U T F - 1 6 " ? > < G e m i n i   x m l n s = " h t t p : / / g e m i n i / p i v o t c u s t o m i z a t i o n / L i n k e d T a b l e s " > < C u s t o m C o n t e n t > < ! [ C D A T A [ < L i n k e d T a b l e s   x m l n s : x s d = " h t t p : / / w w w . w 3 . o r g / 2 0 0 1 / X M L S c h e m a "   x m l n s : x s i = " h t t p : / / w w w . w 3 . o r g / 2 0 0 1 / X M L S c h e m a - i n s t a n c e " > < L i n k e d T a b l e L i s t > < L i n k e d T a b l e I n f o > < E x c e l T a b l e N a m e > d a t a < / E x c e l T a b l e N a m e > < G e m i n i T a b l e I d > d a t a < / G e m i n i T a b l e I d > < L i n k e d C o l u m n L i s t   / > < U p d a t e N e e d e d > t r u e < / U p d a t e N e e d e d > < R o w C o u n t > 0 < / R o w C o u n t > < / L i n k e d T a b l e I n f o > < L i n k e d T a b l e I n f o > < E x c e l T a b l e N a m e > a s a m t i o n < / E x c e l T a b l e N a m e > < G e m i n i T a b l e I d > a s a m t i o n < / G e m i n i T a b l e I d > < L i n k e d C o l u m n L i s t   / > < U p d a t e N e e d e d > f a l s e < / U p d a t e N e e d e d > < R o w C o u n t > 0 < / R o w C o u n t > < / L i n k e d T a b l e I n f o > < / L i n k e d T a b l e L i s t > < / L i n k e d T a b l e s > ] ] > < / C u s t o m C o n t e n t > < / G e m i n i > 
</file>

<file path=customXml/item8.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T a b l e 3 & 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 i : t y p e = " S a n d b o x E d i t o r T a b l e W i d g e t V i e w M o d e l K e y " & g t ; & l t ; T a b l e N a m e & g t ; T a b l e 3 & l t ; / T a b l e N a m e & g t ; & l t ; / K e y & g t ; & l t ; M a i n t a i n e r 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C o l u m n 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a s a m t i o n & 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 i : t y p e = " S a n d b o x E d i t o r T a b l e W i d g e t V i e w M o d e l K e y " & g t ; & l t ; T a b l e N a m e & g t ; a s a m t i o n & l t ; / T a b l e N a m e & g t ; & l t ; / K e y & g t ; & l t ; M a i n t a i n e r 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9FH'F& l t ; / K e y & g t ; & l t ; / a : K e y & g t ; & l t ; a : V a l u e   i : t y p e = " T a b l e W i d g e t B a s e V i e w S t a t e " / & g t ; & l t ; / a : K e y V a l u e O f D i a g r a m O b j e c t K e y a n y T y p e z b w N T n L X & g t ; & l t ; a : K e y V a l u e O f D i a g r a m O b j e c t K e y a n y T y p e z b w N T n L X & g t ; & l t ; a : K e y & g t ; & l t ; K e y & g t ; C o l u m n s \ E'G�*& 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d a t a & 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 i : t y p e = " S a n d b o x E d i t o r T a b l e W i d g e t V i e w M o d e l K e y " & g t ; & l t ; T a b l e N a m e & g t ; d a t a & l t ; / T a b l e N a m e & g t ; & l t ; / K e y & g t ; & l t ; M a i n t a i n e r 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E'G& l t ; / K e y & g t ; & l t ; / a : K e y & g t ; & l t ; a : V a l u e   i : t y p e = " T a b l e W i d g e t B a s e V i e w S t a t e " / & g t ; & l t ; / a : K e y V a l u e O f D i a g r a m O b j e c t K e y a n y T y p e z b w N T n L X & g t ; & l t ; a : K e y V a l u e O f D i a g r a m O b j e c t K e y a n y T y p e z b w N T n L X & g t ; & l t ; a : K e y & g t ; & l t ; K e y & g t ; C o l u m n s \ E(D:& l t ; / K e y & g t ; & l t ; / a : K e y & g t ; & l t ; a : V a l u e   i : t y p e = " T a b l e W i d g e t B a s e V i e w S t a t e " / & g t ; & l t ; / a : K e y V a l u e O f D i a g r a m O b j e c t K e y a n y T y p e z b w N T n L X & g t ; & l t ; a : K e y V a l u e O f D i a g r a m O b j e c t K e y a n y T y p e z b w N T n L X & g t ; & l t ; a : K e y & g t ; & l t ; K e y & g t ; C o l u m n s \ FH9  9'ED& l t ; / K e y & g t ; & l t ; / a : K e y & g t ; & l t ; a : V a l u e   i : t y p e = " T a b l e W i d g e t B a s e V i e w S t a t e " / & g t ; & l t ; / a : K e y V a l u e O f D i a g r a m O b j e c t K e y a n y T y p e z b w N T n L X & g t ; & l t ; a : K e y V a l u e O f D i a g r a m O b j e c t K e y a n y T y p e z b w N T n L X & g t ; & l t ; a : K e y & g t ; & l t ; K e y & g t ; C o l u m n s \ *H6�-'*& l t ; / K e y & g t ; & l t ; / a : K e y & g t ; & l t ; a : V a l u e   i : t y p e = " T a b l e W i d g e t B a s e V i e w S t a t e " / & g t ; & l t ; / a : K e y V a l u e O f D i a g r a m O b j e c t K e y a n y T y p e z b w N T n L X & g t ; & l t ; a : K e y V a l u e O f D i a g r a m O b j e c t K e y a n y T y p e z b w N T n L X & g t ; & l t ; a : K e y & g t ; & l t ; K e y & g t ; C o l u m n s \ H69�*& l t ; / K e y & g t ; & l t ; / a : K e y & g t ; & l t ; a : V a l u e   i : t y p e = " T a b l e W i d g e t B a s e V i e w S t a t e " / & g t ; & l t ; / a : K e y V a l u e O f D i a g r a m O b j e c t K e y a n y T y p e z b w N T n L X & g t ; & l t ; a : K e y V a l u e O f D i a g r a m O b j e c t K e y a n y T y p e z b w N T n L X & g t ; & l t ; a : K e y & g t ; & l t ; K e y & g t ; C o l u m n s \ E-BB  4/G& l t ; / K e y & g t ; & l t ; / a : K e y & g t ; & l t ; a : V a l u e 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9.xml>��< ? x m l   v e r s i o n = " 1 . 0 "   e n c o d i n g = " U T F - 1 6 " ? > < G e m i n i   x m l n s = " h t t p : / / g e m i n i / p i v o t c u s t o m i z a t i o n / P o w e r P i v o t V e r s i o n " > < C u s t o m C o n t e n t > < ! [ C D A T A [ 1 1 . 0 . 9 1 6 5 . 1 1 8 6 ] ] > < / C u s t o m C o n t e n t > < / G e m i n i > 
</file>

<file path=customXml/itemProps1.xml><?xml version="1.0" encoding="utf-8"?>
<ds:datastoreItem xmlns:ds="http://schemas.openxmlformats.org/officeDocument/2006/customXml" ds:itemID="{CC4652D1-6CA8-427E-AEA5-B18C6C8C74CB}">
  <ds:schemaRefs/>
</ds:datastoreItem>
</file>

<file path=customXml/itemProps10.xml><?xml version="1.0" encoding="utf-8"?>
<ds:datastoreItem xmlns:ds="http://schemas.openxmlformats.org/officeDocument/2006/customXml" ds:itemID="{3B00F6B8-3414-49E7-847B-0250E4077166}">
  <ds:schemaRefs/>
</ds:datastoreItem>
</file>

<file path=customXml/itemProps11.xml><?xml version="1.0" encoding="utf-8"?>
<ds:datastoreItem xmlns:ds="http://schemas.openxmlformats.org/officeDocument/2006/customXml" ds:itemID="{B037E25B-E018-4BE5-A09E-0C5F23AAD85F}">
  <ds:schemaRefs/>
</ds:datastoreItem>
</file>

<file path=customXml/itemProps12.xml><?xml version="1.0" encoding="utf-8"?>
<ds:datastoreItem xmlns:ds="http://schemas.openxmlformats.org/officeDocument/2006/customXml" ds:itemID="{8EF8A429-666E-49B6-9386-2E36BB450281}">
  <ds:schemaRefs/>
</ds:datastoreItem>
</file>

<file path=customXml/itemProps13.xml><?xml version="1.0" encoding="utf-8"?>
<ds:datastoreItem xmlns:ds="http://schemas.openxmlformats.org/officeDocument/2006/customXml" ds:itemID="{25ECEA50-95C9-453C-B44F-C852E665D3A1}">
  <ds:schemaRefs/>
</ds:datastoreItem>
</file>

<file path=customXml/itemProps14.xml><?xml version="1.0" encoding="utf-8"?>
<ds:datastoreItem xmlns:ds="http://schemas.openxmlformats.org/officeDocument/2006/customXml" ds:itemID="{61ED4254-5A33-4498-8B97-42E05A3865B7}">
  <ds:schemaRefs/>
</ds:datastoreItem>
</file>

<file path=customXml/itemProps15.xml><?xml version="1.0" encoding="utf-8"?>
<ds:datastoreItem xmlns:ds="http://schemas.openxmlformats.org/officeDocument/2006/customXml" ds:itemID="{04011220-4ABD-465C-835B-F933183B0CA5}">
  <ds:schemaRefs/>
</ds:datastoreItem>
</file>

<file path=customXml/itemProps16.xml><?xml version="1.0" encoding="utf-8"?>
<ds:datastoreItem xmlns:ds="http://schemas.openxmlformats.org/officeDocument/2006/customXml" ds:itemID="{5FEFC48C-CEB2-445D-B4BA-3E4A635E1CFD}">
  <ds:schemaRefs/>
</ds:datastoreItem>
</file>

<file path=customXml/itemProps17.xml><?xml version="1.0" encoding="utf-8"?>
<ds:datastoreItem xmlns:ds="http://schemas.openxmlformats.org/officeDocument/2006/customXml" ds:itemID="{C25B5232-CD15-4B59-9864-59C20C14051B}">
  <ds:schemaRefs/>
</ds:datastoreItem>
</file>

<file path=customXml/itemProps18.xml><?xml version="1.0" encoding="utf-8"?>
<ds:datastoreItem xmlns:ds="http://schemas.openxmlformats.org/officeDocument/2006/customXml" ds:itemID="{5E2D5FAC-9CC4-477F-85DC-BE222B17299D}">
  <ds:schemaRefs/>
</ds:datastoreItem>
</file>

<file path=customXml/itemProps19.xml><?xml version="1.0" encoding="utf-8"?>
<ds:datastoreItem xmlns:ds="http://schemas.openxmlformats.org/officeDocument/2006/customXml" ds:itemID="{40E4509B-B0D8-4B38-92FD-735DF04039B9}">
  <ds:schemaRefs/>
</ds:datastoreItem>
</file>

<file path=customXml/itemProps2.xml><?xml version="1.0" encoding="utf-8"?>
<ds:datastoreItem xmlns:ds="http://schemas.openxmlformats.org/officeDocument/2006/customXml" ds:itemID="{EF5511D2-7DD5-4709-A4C5-BAC715EAC97D}">
  <ds:schemaRefs/>
</ds:datastoreItem>
</file>

<file path=customXml/itemProps3.xml><?xml version="1.0" encoding="utf-8"?>
<ds:datastoreItem xmlns:ds="http://schemas.openxmlformats.org/officeDocument/2006/customXml" ds:itemID="{ACA1CA9E-7CFD-4727-98BC-C225E1231BFF}">
  <ds:schemaRefs/>
</ds:datastoreItem>
</file>

<file path=customXml/itemProps4.xml><?xml version="1.0" encoding="utf-8"?>
<ds:datastoreItem xmlns:ds="http://schemas.openxmlformats.org/officeDocument/2006/customXml" ds:itemID="{D5B58B88-A1D4-4B89-8ACB-3951019C8BCE}">
  <ds:schemaRefs/>
</ds:datastoreItem>
</file>

<file path=customXml/itemProps5.xml><?xml version="1.0" encoding="utf-8"?>
<ds:datastoreItem xmlns:ds="http://schemas.openxmlformats.org/officeDocument/2006/customXml" ds:itemID="{C08E319F-5CB0-403E-98CC-67E92F70ECB7}">
  <ds:schemaRefs/>
</ds:datastoreItem>
</file>

<file path=customXml/itemProps6.xml><?xml version="1.0" encoding="utf-8"?>
<ds:datastoreItem xmlns:ds="http://schemas.openxmlformats.org/officeDocument/2006/customXml" ds:itemID="{A0A5F008-D28F-47AD-9387-FEFD4CC41DEE}">
  <ds:schemaRefs/>
</ds:datastoreItem>
</file>

<file path=customXml/itemProps7.xml><?xml version="1.0" encoding="utf-8"?>
<ds:datastoreItem xmlns:ds="http://schemas.openxmlformats.org/officeDocument/2006/customXml" ds:itemID="{94F2CA9F-F333-4516-8B57-8E98ED5518D3}">
  <ds:schemaRefs/>
</ds:datastoreItem>
</file>

<file path=customXml/itemProps8.xml><?xml version="1.0" encoding="utf-8"?>
<ds:datastoreItem xmlns:ds="http://schemas.openxmlformats.org/officeDocument/2006/customXml" ds:itemID="{FA44C99D-DB60-4FEB-9AD1-73291ABB26FE}">
  <ds:schemaRefs/>
</ds:datastoreItem>
</file>

<file path=customXml/itemProps9.xml><?xml version="1.0" encoding="utf-8"?>
<ds:datastoreItem xmlns:ds="http://schemas.openxmlformats.org/officeDocument/2006/customXml" ds:itemID="{FBC952FB-1A37-4446-A33D-081DF4BD91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3</vt:i4>
      </vt:variant>
      <vt:variant>
        <vt:lpstr>Named Ranges</vt:lpstr>
      </vt:variant>
      <vt:variant>
        <vt:i4>1</vt:i4>
      </vt:variant>
    </vt:vector>
  </HeadingPairs>
  <TitlesOfParts>
    <vt:vector size="7" baseType="lpstr">
      <vt:lpstr>مفروضات</vt:lpstr>
      <vt:lpstr>report</vt:lpstr>
      <vt:lpstr>data</vt:lpstr>
      <vt:lpstr>Chart3</vt:lpstr>
      <vt:lpstr>Chart2</vt:lpstr>
      <vt:lpstr>Chart1</vt:lpstr>
      <vt:lpstr>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mohsen Ahmedi</dc:creator>
  <cp:lastModifiedBy>PcFi</cp:lastModifiedBy>
  <cp:lastPrinted>2019-01-13T11:18:50Z</cp:lastPrinted>
  <dcterms:created xsi:type="dcterms:W3CDTF">2016-07-05T18:54:45Z</dcterms:created>
  <dcterms:modified xsi:type="dcterms:W3CDTF">2024-12-15T09:57:49Z</dcterms:modified>
</cp:coreProperties>
</file>